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o\УЭР\Павлова КА\Рабочая\ОТЧЕТЫ\Муниципальные программы\Отчет о реализации муниципальных программ\2024\2 квартал\Район\"/>
    </mc:Choice>
  </mc:AlternateContent>
  <xr:revisionPtr revIDLastSave="0" documentId="13_ncr:1_{46AD08C2-4B7A-4E5D-A0CC-BEF55F92E3DE}" xr6:coauthVersionLast="36" xr6:coauthVersionMax="36" xr10:uidLastSave="{00000000-0000-0000-0000-000000000000}"/>
  <bookViews>
    <workbookView xWindow="0" yWindow="0" windowWidth="28800" windowHeight="11925" xr2:uid="{33FC8D48-5FF0-4C61-BA94-DC15ECA166D1}"/>
  </bookViews>
  <sheets>
    <sheet name="отчёт" sheetId="1" r:id="rId1"/>
  </sheets>
  <definedNames>
    <definedName name="_xlnm._FilterDatabase" localSheetId="0" hidden="1">отчёт!$A$7:$Q$440</definedName>
    <definedName name="_xlnm.Print_Area" localSheetId="0">отчёт!$A$1:$I$440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8" i="1" l="1"/>
  <c r="E436" i="1"/>
  <c r="D436" i="1"/>
  <c r="I349" i="1"/>
  <c r="E352" i="1"/>
  <c r="F352" i="1"/>
  <c r="G352" i="1"/>
  <c r="D352" i="1"/>
  <c r="I348" i="1"/>
  <c r="I347" i="1" l="1"/>
  <c r="G339" i="1"/>
  <c r="F339" i="1"/>
  <c r="G338" i="1"/>
  <c r="F338" i="1"/>
  <c r="G337" i="1"/>
  <c r="F337" i="1"/>
  <c r="F351" i="1" l="1"/>
  <c r="G351" i="1"/>
  <c r="G305" i="1" l="1"/>
  <c r="G325" i="1" s="1"/>
  <c r="F305" i="1"/>
  <c r="F325" i="1" s="1"/>
  <c r="I275" i="1"/>
  <c r="G250" i="1"/>
  <c r="F250" i="1"/>
  <c r="G246" i="1"/>
  <c r="F246" i="1"/>
  <c r="G245" i="1"/>
  <c r="F245" i="1"/>
  <c r="D245" i="1"/>
  <c r="E245" i="1"/>
  <c r="F216" i="1" l="1"/>
  <c r="F215" i="1" s="1"/>
  <c r="E216" i="1"/>
  <c r="E215" i="1" s="1"/>
  <c r="G216" i="1"/>
  <c r="G215" i="1" s="1"/>
  <c r="D216" i="1"/>
  <c r="D215" i="1" s="1"/>
  <c r="G163" i="1" l="1"/>
  <c r="F163" i="1"/>
  <c r="F162" i="1" s="1"/>
  <c r="F157" i="1"/>
  <c r="G127" i="1"/>
  <c r="F127" i="1"/>
  <c r="G112" i="1"/>
  <c r="E112" i="1"/>
  <c r="F112" i="1"/>
  <c r="D112" i="1"/>
  <c r="I104" i="1"/>
  <c r="F74" i="1" l="1"/>
  <c r="F72" i="1"/>
  <c r="E72" i="1"/>
  <c r="G72" i="1"/>
  <c r="E73" i="1"/>
  <c r="F73" i="1"/>
  <c r="G73" i="1"/>
  <c r="E74" i="1"/>
  <c r="G74" i="1"/>
  <c r="G49" i="1"/>
  <c r="F71" i="1" l="1"/>
  <c r="G23" i="1"/>
  <c r="G30" i="1" s="1"/>
  <c r="G31" i="1"/>
  <c r="G32" i="1"/>
  <c r="F32" i="1"/>
  <c r="E32" i="1"/>
  <c r="D32" i="1"/>
  <c r="E30" i="1"/>
  <c r="E31" i="1"/>
  <c r="D31" i="1"/>
  <c r="D30" i="1"/>
  <c r="I27" i="1"/>
  <c r="F23" i="1"/>
  <c r="G435" i="1" l="1"/>
  <c r="F435" i="1"/>
  <c r="E435" i="1"/>
  <c r="D435" i="1"/>
  <c r="I434" i="1"/>
  <c r="I433" i="1"/>
  <c r="I432" i="1"/>
  <c r="G430" i="1"/>
  <c r="F430" i="1"/>
  <c r="E430" i="1"/>
  <c r="D430" i="1"/>
  <c r="G429" i="1"/>
  <c r="F429" i="1"/>
  <c r="E429" i="1"/>
  <c r="D429" i="1"/>
  <c r="G428" i="1"/>
  <c r="F428" i="1"/>
  <c r="F427" i="1" s="1"/>
  <c r="E428" i="1"/>
  <c r="D428" i="1"/>
  <c r="I426" i="1"/>
  <c r="I425" i="1"/>
  <c r="I424" i="1"/>
  <c r="I423" i="1"/>
  <c r="I422" i="1"/>
  <c r="G415" i="1"/>
  <c r="F415" i="1"/>
  <c r="E415" i="1"/>
  <c r="D415" i="1"/>
  <c r="G414" i="1"/>
  <c r="F414" i="1"/>
  <c r="E414" i="1"/>
  <c r="E417" i="1" s="1"/>
  <c r="D414" i="1"/>
  <c r="D417" i="1" s="1"/>
  <c r="I412" i="1"/>
  <c r="I411" i="1"/>
  <c r="I410" i="1"/>
  <c r="G408" i="1"/>
  <c r="F408" i="1"/>
  <c r="F407" i="1" s="1"/>
  <c r="E408" i="1"/>
  <c r="E407" i="1" s="1"/>
  <c r="D408" i="1"/>
  <c r="D407" i="1" s="1"/>
  <c r="I406" i="1"/>
  <c r="G404" i="1"/>
  <c r="F404" i="1"/>
  <c r="E404" i="1"/>
  <c r="E403" i="1" s="1"/>
  <c r="D404" i="1"/>
  <c r="D403" i="1" s="1"/>
  <c r="G403" i="1"/>
  <c r="I402" i="1"/>
  <c r="G400" i="1"/>
  <c r="G399" i="1" s="1"/>
  <c r="F400" i="1"/>
  <c r="F399" i="1" s="1"/>
  <c r="E400" i="1"/>
  <c r="E399" i="1" s="1"/>
  <c r="D400" i="1"/>
  <c r="D399" i="1" s="1"/>
  <c r="I398" i="1"/>
  <c r="G396" i="1"/>
  <c r="F396" i="1"/>
  <c r="F395" i="1" s="1"/>
  <c r="E396" i="1"/>
  <c r="E395" i="1" s="1"/>
  <c r="D396" i="1"/>
  <c r="D395" i="1" s="1"/>
  <c r="G395" i="1"/>
  <c r="I394" i="1"/>
  <c r="I393" i="1"/>
  <c r="I392" i="1"/>
  <c r="G390" i="1"/>
  <c r="F390" i="1"/>
  <c r="E390" i="1"/>
  <c r="D390" i="1"/>
  <c r="G389" i="1"/>
  <c r="F389" i="1"/>
  <c r="E389" i="1"/>
  <c r="D389" i="1"/>
  <c r="G388" i="1"/>
  <c r="F388" i="1"/>
  <c r="E388" i="1"/>
  <c r="D388" i="1"/>
  <c r="I386" i="1"/>
  <c r="I385" i="1"/>
  <c r="I384" i="1"/>
  <c r="I383" i="1"/>
  <c r="I382" i="1"/>
  <c r="G380" i="1"/>
  <c r="F380" i="1"/>
  <c r="E380" i="1"/>
  <c r="D380" i="1"/>
  <c r="G379" i="1"/>
  <c r="F379" i="1"/>
  <c r="E379" i="1"/>
  <c r="D379" i="1"/>
  <c r="G378" i="1"/>
  <c r="F378" i="1"/>
  <c r="E378" i="1"/>
  <c r="D378" i="1"/>
  <c r="D419" i="1" s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2" i="1"/>
  <c r="I346" i="1"/>
  <c r="I345" i="1"/>
  <c r="I344" i="1"/>
  <c r="I343" i="1"/>
  <c r="I342" i="1"/>
  <c r="I341" i="1"/>
  <c r="E340" i="1"/>
  <c r="I340" i="1" s="1"/>
  <c r="D340" i="1"/>
  <c r="E339" i="1"/>
  <c r="I339" i="1" s="1"/>
  <c r="D339" i="1"/>
  <c r="E338" i="1"/>
  <c r="D338" i="1"/>
  <c r="E337" i="1"/>
  <c r="D337" i="1"/>
  <c r="G331" i="1"/>
  <c r="F331" i="1"/>
  <c r="F330" i="1" s="1"/>
  <c r="E331" i="1"/>
  <c r="E330" i="1" s="1"/>
  <c r="D331" i="1"/>
  <c r="G330" i="1"/>
  <c r="D330" i="1"/>
  <c r="I329" i="1"/>
  <c r="G327" i="1"/>
  <c r="F327" i="1"/>
  <c r="E327" i="1"/>
  <c r="D327" i="1"/>
  <c r="G326" i="1"/>
  <c r="F326" i="1"/>
  <c r="E326" i="1"/>
  <c r="D326" i="1"/>
  <c r="I323" i="1"/>
  <c r="I322" i="1"/>
  <c r="I321" i="1"/>
  <c r="I320" i="1"/>
  <c r="I318" i="1"/>
  <c r="I317" i="1"/>
  <c r="I316" i="1"/>
  <c r="I315" i="1"/>
  <c r="I314" i="1"/>
  <c r="I313" i="1"/>
  <c r="I308" i="1"/>
  <c r="I307" i="1"/>
  <c r="I306" i="1"/>
  <c r="E305" i="1"/>
  <c r="E325" i="1" s="1"/>
  <c r="D305" i="1"/>
  <c r="D325" i="1" s="1"/>
  <c r="G303" i="1"/>
  <c r="F303" i="1"/>
  <c r="E303" i="1"/>
  <c r="D303" i="1"/>
  <c r="G302" i="1"/>
  <c r="F302" i="1"/>
  <c r="E302" i="1"/>
  <c r="D302" i="1"/>
  <c r="G301" i="1"/>
  <c r="G300" i="1" s="1"/>
  <c r="F301" i="1"/>
  <c r="E301" i="1"/>
  <c r="E300" i="1" s="1"/>
  <c r="D301" i="1"/>
  <c r="D300" i="1" s="1"/>
  <c r="I299" i="1"/>
  <c r="I298" i="1"/>
  <c r="I297" i="1"/>
  <c r="I296" i="1"/>
  <c r="I295" i="1"/>
  <c r="I293" i="1"/>
  <c r="I289" i="1"/>
  <c r="I287" i="1"/>
  <c r="I284" i="1"/>
  <c r="I283" i="1"/>
  <c r="I282" i="1"/>
  <c r="I281" i="1"/>
  <c r="I280" i="1"/>
  <c r="I279" i="1"/>
  <c r="I278" i="1"/>
  <c r="I277" i="1"/>
  <c r="I276" i="1"/>
  <c r="I274" i="1"/>
  <c r="I273" i="1"/>
  <c r="I272" i="1"/>
  <c r="I271" i="1"/>
  <c r="I270" i="1"/>
  <c r="I269" i="1"/>
  <c r="I268" i="1"/>
  <c r="I267" i="1"/>
  <c r="I266" i="1"/>
  <c r="I264" i="1"/>
  <c r="I263" i="1"/>
  <c r="I262" i="1"/>
  <c r="G258" i="1"/>
  <c r="F258" i="1"/>
  <c r="E258" i="1"/>
  <c r="D258" i="1"/>
  <c r="I257" i="1"/>
  <c r="I256" i="1"/>
  <c r="G254" i="1"/>
  <c r="F254" i="1"/>
  <c r="I253" i="1"/>
  <c r="E252" i="1"/>
  <c r="I252" i="1" s="1"/>
  <c r="D252" i="1"/>
  <c r="E251" i="1"/>
  <c r="D251" i="1"/>
  <c r="E250" i="1"/>
  <c r="I250" i="1" s="1"/>
  <c r="D250" i="1"/>
  <c r="G248" i="1"/>
  <c r="F248" i="1"/>
  <c r="E247" i="1"/>
  <c r="I247" i="1" s="1"/>
  <c r="D247" i="1"/>
  <c r="E246" i="1"/>
  <c r="I246" i="1" s="1"/>
  <c r="D246" i="1"/>
  <c r="I245" i="1"/>
  <c r="G242" i="1"/>
  <c r="F242" i="1"/>
  <c r="E242" i="1"/>
  <c r="D242" i="1"/>
  <c r="G241" i="1"/>
  <c r="F241" i="1"/>
  <c r="F240" i="1" s="1"/>
  <c r="E241" i="1"/>
  <c r="E240" i="1" s="1"/>
  <c r="D241" i="1"/>
  <c r="D240" i="1" s="1"/>
  <c r="I239" i="1"/>
  <c r="I238" i="1"/>
  <c r="I237" i="1"/>
  <c r="I236" i="1"/>
  <c r="I235" i="1"/>
  <c r="I234" i="1"/>
  <c r="G232" i="1"/>
  <c r="G231" i="1" s="1"/>
  <c r="F232" i="1"/>
  <c r="F231" i="1" s="1"/>
  <c r="E232" i="1"/>
  <c r="E231" i="1" s="1"/>
  <c r="D232" i="1"/>
  <c r="D231" i="1" s="1"/>
  <c r="I230" i="1"/>
  <c r="I229" i="1"/>
  <c r="G224" i="1"/>
  <c r="F224" i="1"/>
  <c r="F227" i="1" s="1"/>
  <c r="E224" i="1"/>
  <c r="E227" i="1" s="1"/>
  <c r="D224" i="1"/>
  <c r="D227" i="1" s="1"/>
  <c r="G223" i="1"/>
  <c r="F223" i="1"/>
  <c r="E223" i="1"/>
  <c r="E226" i="1" s="1"/>
  <c r="E225" i="1" s="1"/>
  <c r="D223" i="1"/>
  <c r="D222" i="1" s="1"/>
  <c r="I221" i="1"/>
  <c r="I220" i="1"/>
  <c r="I219" i="1"/>
  <c r="I218" i="1"/>
  <c r="I216" i="1"/>
  <c r="I213" i="1"/>
  <c r="I212" i="1"/>
  <c r="I211" i="1"/>
  <c r="I210" i="1"/>
  <c r="I209" i="1"/>
  <c r="I208" i="1"/>
  <c r="G203" i="1"/>
  <c r="G202" i="1" s="1"/>
  <c r="F203" i="1"/>
  <c r="F202" i="1" s="1"/>
  <c r="E203" i="1"/>
  <c r="E202" i="1" s="1"/>
  <c r="I202" i="1" s="1"/>
  <c r="D203" i="1"/>
  <c r="D202" i="1" s="1"/>
  <c r="I201" i="1"/>
  <c r="I200" i="1"/>
  <c r="G198" i="1"/>
  <c r="G197" i="1" s="1"/>
  <c r="F198" i="1"/>
  <c r="F197" i="1" s="1"/>
  <c r="E198" i="1"/>
  <c r="D198" i="1"/>
  <c r="D197" i="1" s="1"/>
  <c r="I196" i="1"/>
  <c r="I195" i="1"/>
  <c r="I194" i="1"/>
  <c r="G192" i="1"/>
  <c r="F192" i="1"/>
  <c r="E192" i="1"/>
  <c r="D192" i="1"/>
  <c r="G191" i="1"/>
  <c r="F191" i="1"/>
  <c r="E191" i="1"/>
  <c r="I190" i="1"/>
  <c r="G184" i="1"/>
  <c r="F184" i="1"/>
  <c r="E184" i="1"/>
  <c r="D184" i="1"/>
  <c r="G183" i="1"/>
  <c r="F183" i="1"/>
  <c r="F187" i="1" s="1"/>
  <c r="E183" i="1"/>
  <c r="E187" i="1" s="1"/>
  <c r="D183" i="1"/>
  <c r="D187" i="1" s="1"/>
  <c r="I181" i="1"/>
  <c r="I180" i="1"/>
  <c r="I179" i="1"/>
  <c r="I178" i="1"/>
  <c r="I177" i="1"/>
  <c r="I176" i="1"/>
  <c r="G174" i="1"/>
  <c r="F174" i="1"/>
  <c r="E174" i="1"/>
  <c r="D174" i="1"/>
  <c r="I173" i="1"/>
  <c r="G170" i="1"/>
  <c r="G169" i="1" s="1"/>
  <c r="F170" i="1"/>
  <c r="F169" i="1" s="1"/>
  <c r="E168" i="1"/>
  <c r="I168" i="1" s="1"/>
  <c r="D168" i="1"/>
  <c r="D170" i="1" s="1"/>
  <c r="D169" i="1" s="1"/>
  <c r="E163" i="1"/>
  <c r="D163" i="1"/>
  <c r="D162" i="1" s="1"/>
  <c r="C163" i="1"/>
  <c r="G162" i="1"/>
  <c r="E162" i="1"/>
  <c r="I161" i="1"/>
  <c r="I160" i="1"/>
  <c r="G158" i="1"/>
  <c r="F158" i="1"/>
  <c r="E158" i="1"/>
  <c r="D158" i="1"/>
  <c r="G157" i="1"/>
  <c r="F156" i="1"/>
  <c r="E157" i="1"/>
  <c r="D157" i="1"/>
  <c r="I155" i="1"/>
  <c r="I154" i="1"/>
  <c r="I153" i="1"/>
  <c r="I152" i="1"/>
  <c r="I151" i="1"/>
  <c r="I150" i="1"/>
  <c r="I149" i="1"/>
  <c r="I148" i="1"/>
  <c r="I147" i="1"/>
  <c r="G145" i="1"/>
  <c r="F145" i="1"/>
  <c r="E145" i="1"/>
  <c r="D145" i="1"/>
  <c r="G144" i="1"/>
  <c r="F144" i="1"/>
  <c r="E144" i="1"/>
  <c r="E143" i="1" s="1"/>
  <c r="D144" i="1"/>
  <c r="D143" i="1" s="1"/>
  <c r="I142" i="1"/>
  <c r="I141" i="1"/>
  <c r="I140" i="1"/>
  <c r="I139" i="1"/>
  <c r="G135" i="1"/>
  <c r="F135" i="1"/>
  <c r="E135" i="1"/>
  <c r="D135" i="1"/>
  <c r="I133" i="1"/>
  <c r="I132" i="1"/>
  <c r="I131" i="1"/>
  <c r="I130" i="1"/>
  <c r="I129" i="1"/>
  <c r="I128" i="1"/>
  <c r="F136" i="1"/>
  <c r="E127" i="1"/>
  <c r="E136" i="1" s="1"/>
  <c r="D127" i="1"/>
  <c r="D136" i="1" s="1"/>
  <c r="D134" i="1" s="1"/>
  <c r="G125" i="1"/>
  <c r="F125" i="1"/>
  <c r="E125" i="1"/>
  <c r="D125" i="1"/>
  <c r="G124" i="1"/>
  <c r="F124" i="1"/>
  <c r="E124" i="1"/>
  <c r="D124" i="1"/>
  <c r="I122" i="1"/>
  <c r="I121" i="1"/>
  <c r="I120" i="1"/>
  <c r="I119" i="1"/>
  <c r="I118" i="1"/>
  <c r="I117" i="1"/>
  <c r="I116" i="1"/>
  <c r="I115" i="1"/>
  <c r="I114" i="1"/>
  <c r="I112" i="1"/>
  <c r="G111" i="1"/>
  <c r="F111" i="1"/>
  <c r="E111" i="1"/>
  <c r="D111" i="1"/>
  <c r="G110" i="1"/>
  <c r="F110" i="1"/>
  <c r="E110" i="1"/>
  <c r="D110" i="1"/>
  <c r="D109" i="1"/>
  <c r="I108" i="1"/>
  <c r="I107" i="1"/>
  <c r="I106" i="1"/>
  <c r="I105" i="1"/>
  <c r="I103" i="1"/>
  <c r="I102" i="1"/>
  <c r="G96" i="1"/>
  <c r="F96" i="1"/>
  <c r="F95" i="1" s="1"/>
  <c r="E96" i="1"/>
  <c r="E95" i="1" s="1"/>
  <c r="D96" i="1"/>
  <c r="D95" i="1" s="1"/>
  <c r="I94" i="1"/>
  <c r="I93" i="1"/>
  <c r="G91" i="1"/>
  <c r="F91" i="1"/>
  <c r="E91" i="1"/>
  <c r="D91" i="1"/>
  <c r="G90" i="1"/>
  <c r="I90" i="1" s="1"/>
  <c r="F90" i="1"/>
  <c r="E90" i="1"/>
  <c r="E89" i="1" s="1"/>
  <c r="D90" i="1"/>
  <c r="D89" i="1" s="1"/>
  <c r="I88" i="1"/>
  <c r="I87" i="1"/>
  <c r="I86" i="1"/>
  <c r="I85" i="1"/>
  <c r="I84" i="1"/>
  <c r="I83" i="1"/>
  <c r="I80" i="1"/>
  <c r="I79" i="1"/>
  <c r="I78" i="1"/>
  <c r="I77" i="1"/>
  <c r="I76" i="1"/>
  <c r="I74" i="1"/>
  <c r="D74" i="1"/>
  <c r="D73" i="1"/>
  <c r="D100" i="1" s="1"/>
  <c r="I72" i="1"/>
  <c r="D72" i="1"/>
  <c r="I70" i="1"/>
  <c r="I69" i="1"/>
  <c r="I68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G50" i="1"/>
  <c r="F50" i="1"/>
  <c r="E50" i="1"/>
  <c r="D50" i="1"/>
  <c r="G48" i="1"/>
  <c r="F49" i="1"/>
  <c r="E49" i="1"/>
  <c r="D49" i="1"/>
  <c r="D48" i="1" s="1"/>
  <c r="I47" i="1"/>
  <c r="I45" i="1"/>
  <c r="I44" i="1"/>
  <c r="I43" i="1"/>
  <c r="I42" i="1"/>
  <c r="I41" i="1"/>
  <c r="G39" i="1"/>
  <c r="F39" i="1"/>
  <c r="E39" i="1"/>
  <c r="D39" i="1"/>
  <c r="G38" i="1"/>
  <c r="G98" i="1" s="1"/>
  <c r="F38" i="1"/>
  <c r="E38" i="1"/>
  <c r="D38" i="1"/>
  <c r="D37" i="1" s="1"/>
  <c r="I36" i="1"/>
  <c r="I35" i="1"/>
  <c r="I34" i="1"/>
  <c r="F31" i="1"/>
  <c r="G100" i="1"/>
  <c r="F30" i="1"/>
  <c r="E100" i="1"/>
  <c r="I28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E182" i="1" l="1"/>
  <c r="E324" i="1"/>
  <c r="I183" i="1"/>
  <c r="I184" i="1"/>
  <c r="I135" i="1"/>
  <c r="I429" i="1"/>
  <c r="I111" i="1"/>
  <c r="F166" i="1"/>
  <c r="G419" i="1"/>
  <c r="G420" i="1"/>
  <c r="G324" i="1"/>
  <c r="D351" i="1"/>
  <c r="D350" i="1" s="1"/>
  <c r="I223" i="1"/>
  <c r="I224" i="1"/>
  <c r="I337" i="1"/>
  <c r="E351" i="1"/>
  <c r="I396" i="1"/>
  <c r="F324" i="1"/>
  <c r="G413" i="1"/>
  <c r="D387" i="1"/>
  <c r="F420" i="1"/>
  <c r="I389" i="1"/>
  <c r="I404" i="1"/>
  <c r="G427" i="1"/>
  <c r="D437" i="1"/>
  <c r="I162" i="1"/>
  <c r="I378" i="1"/>
  <c r="I403" i="1"/>
  <c r="I124" i="1"/>
  <c r="E134" i="1"/>
  <c r="I241" i="1"/>
  <c r="I258" i="1"/>
  <c r="F350" i="1"/>
  <c r="E419" i="1"/>
  <c r="D418" i="1"/>
  <c r="E350" i="1"/>
  <c r="G418" i="1"/>
  <c r="F98" i="1"/>
  <c r="F134" i="1"/>
  <c r="E186" i="1"/>
  <c r="F205" i="1"/>
  <c r="F204" i="1" s="1"/>
  <c r="D254" i="1"/>
  <c r="F259" i="1"/>
  <c r="G350" i="1"/>
  <c r="F419" i="1"/>
  <c r="E420" i="1"/>
  <c r="I420" i="1" s="1"/>
  <c r="I390" i="1"/>
  <c r="I408" i="1"/>
  <c r="I414" i="1"/>
  <c r="I415" i="1"/>
  <c r="I435" i="1"/>
  <c r="I327" i="1"/>
  <c r="I303" i="1"/>
  <c r="F335" i="1"/>
  <c r="F334" i="1"/>
  <c r="I301" i="1"/>
  <c r="G240" i="1"/>
  <c r="I240" i="1" s="1"/>
  <c r="D71" i="1"/>
  <c r="I91" i="1"/>
  <c r="I96" i="1"/>
  <c r="E109" i="1"/>
  <c r="I110" i="1"/>
  <c r="E123" i="1"/>
  <c r="I125" i="1"/>
  <c r="I127" i="1"/>
  <c r="I144" i="1"/>
  <c r="D186" i="1"/>
  <c r="D185" i="1" s="1"/>
  <c r="G227" i="1"/>
  <c r="I227" i="1" s="1"/>
  <c r="I231" i="1"/>
  <c r="D248" i="1"/>
  <c r="G333" i="1"/>
  <c r="D376" i="1"/>
  <c r="D420" i="1"/>
  <c r="I380" i="1"/>
  <c r="I395" i="1"/>
  <c r="D182" i="1"/>
  <c r="E437" i="1"/>
  <c r="I50" i="1"/>
  <c r="I158" i="1"/>
  <c r="E185" i="1"/>
  <c r="F182" i="1"/>
  <c r="I198" i="1"/>
  <c r="I232" i="1"/>
  <c r="F300" i="1"/>
  <c r="D335" i="1"/>
  <c r="E376" i="1"/>
  <c r="F387" i="1"/>
  <c r="E387" i="1"/>
  <c r="I430" i="1"/>
  <c r="E166" i="1"/>
  <c r="D166" i="1"/>
  <c r="E205" i="1"/>
  <c r="E204" i="1" s="1"/>
  <c r="E335" i="1"/>
  <c r="E334" i="1"/>
  <c r="G417" i="1"/>
  <c r="I388" i="1"/>
  <c r="F418" i="1"/>
  <c r="F417" i="1"/>
  <c r="E413" i="1"/>
  <c r="I413" i="1" s="1"/>
  <c r="E427" i="1"/>
  <c r="E197" i="1"/>
  <c r="I197" i="1" s="1"/>
  <c r="G186" i="1"/>
  <c r="I186" i="1" s="1"/>
  <c r="F186" i="1"/>
  <c r="F185" i="1" s="1"/>
  <c r="G166" i="1"/>
  <c r="I157" i="1"/>
  <c r="F165" i="1"/>
  <c r="F164" i="1" s="1"/>
  <c r="E165" i="1"/>
  <c r="E156" i="1"/>
  <c r="D165" i="1"/>
  <c r="F143" i="1"/>
  <c r="F123" i="1"/>
  <c r="G123" i="1"/>
  <c r="F109" i="1"/>
  <c r="G89" i="1"/>
  <c r="I89" i="1" s="1"/>
  <c r="F89" i="1"/>
  <c r="F100" i="1"/>
  <c r="I73" i="1"/>
  <c r="D98" i="1"/>
  <c r="G99" i="1"/>
  <c r="F48" i="1"/>
  <c r="I49" i="1"/>
  <c r="E48" i="1"/>
  <c r="I48" i="1" s="1"/>
  <c r="F37" i="1"/>
  <c r="I39" i="1"/>
  <c r="G37" i="1"/>
  <c r="F99" i="1"/>
  <c r="E29" i="1"/>
  <c r="E99" i="1"/>
  <c r="I30" i="1"/>
  <c r="D99" i="1"/>
  <c r="G29" i="1"/>
  <c r="E98" i="1"/>
  <c r="F29" i="1"/>
  <c r="I31" i="1"/>
  <c r="E71" i="1"/>
  <c r="D29" i="1"/>
  <c r="E37" i="1"/>
  <c r="I38" i="1"/>
  <c r="G71" i="1"/>
  <c r="I71" i="1" s="1"/>
  <c r="G95" i="1"/>
  <c r="I95" i="1" s="1"/>
  <c r="G109" i="1"/>
  <c r="D123" i="1"/>
  <c r="G136" i="1"/>
  <c r="G143" i="1"/>
  <c r="I143" i="1" s="1"/>
  <c r="D156" i="1"/>
  <c r="I163" i="1"/>
  <c r="E170" i="1"/>
  <c r="E169" i="1" s="1"/>
  <c r="I169" i="1" s="1"/>
  <c r="I174" i="1"/>
  <c r="D205" i="1"/>
  <c r="D204" i="1" s="1"/>
  <c r="D191" i="1"/>
  <c r="I192" i="1"/>
  <c r="I215" i="1"/>
  <c r="G222" i="1"/>
  <c r="F222" i="1"/>
  <c r="I242" i="1"/>
  <c r="I251" i="1"/>
  <c r="E254" i="1"/>
  <c r="I254" i="1" s="1"/>
  <c r="D334" i="1"/>
  <c r="D324" i="1"/>
  <c r="G226" i="1"/>
  <c r="E248" i="1"/>
  <c r="I248" i="1" s="1"/>
  <c r="D333" i="1"/>
  <c r="I300" i="1"/>
  <c r="I302" i="1"/>
  <c r="I100" i="1"/>
  <c r="I145" i="1"/>
  <c r="G187" i="1"/>
  <c r="I187" i="1" s="1"/>
  <c r="G205" i="1"/>
  <c r="I32" i="1"/>
  <c r="G156" i="1"/>
  <c r="G165" i="1"/>
  <c r="G164" i="1" s="1"/>
  <c r="G182" i="1"/>
  <c r="I182" i="1" s="1"/>
  <c r="I191" i="1"/>
  <c r="I203" i="1"/>
  <c r="F226" i="1"/>
  <c r="F225" i="1" s="1"/>
  <c r="E222" i="1"/>
  <c r="D226" i="1"/>
  <c r="D225" i="1" s="1"/>
  <c r="G259" i="1"/>
  <c r="E333" i="1"/>
  <c r="I325" i="1"/>
  <c r="I326" i="1"/>
  <c r="I330" i="1"/>
  <c r="I399" i="1"/>
  <c r="G334" i="1"/>
  <c r="G376" i="1"/>
  <c r="G387" i="1"/>
  <c r="I387" i="1" s="1"/>
  <c r="I400" i="1"/>
  <c r="F403" i="1"/>
  <c r="G407" i="1"/>
  <c r="I407" i="1" s="1"/>
  <c r="F413" i="1"/>
  <c r="E418" i="1"/>
  <c r="I428" i="1"/>
  <c r="G335" i="1"/>
  <c r="I331" i="1"/>
  <c r="F333" i="1"/>
  <c r="I338" i="1"/>
  <c r="I379" i="1"/>
  <c r="D413" i="1"/>
  <c r="F376" i="1"/>
  <c r="D427" i="1"/>
  <c r="F439" i="1" l="1"/>
  <c r="I419" i="1"/>
  <c r="E332" i="1"/>
  <c r="D332" i="1"/>
  <c r="G332" i="1"/>
  <c r="I427" i="1"/>
  <c r="G185" i="1"/>
  <c r="I185" i="1" s="1"/>
  <c r="D416" i="1"/>
  <c r="F416" i="1"/>
  <c r="G416" i="1"/>
  <c r="I350" i="1"/>
  <c r="I351" i="1"/>
  <c r="D259" i="1"/>
  <c r="I376" i="1"/>
  <c r="I417" i="1"/>
  <c r="I123" i="1"/>
  <c r="E439" i="1"/>
  <c r="E416" i="1"/>
  <c r="E164" i="1"/>
  <c r="I164" i="1" s="1"/>
  <c r="I324" i="1"/>
  <c r="F332" i="1"/>
  <c r="I334" i="1"/>
  <c r="F440" i="1"/>
  <c r="I333" i="1"/>
  <c r="I418" i="1"/>
  <c r="D164" i="1"/>
  <c r="G437" i="1"/>
  <c r="I437" i="1" s="1"/>
  <c r="I170" i="1"/>
  <c r="I222" i="1"/>
  <c r="I109" i="1"/>
  <c r="I37" i="1"/>
  <c r="F437" i="1"/>
  <c r="I166" i="1"/>
  <c r="D439" i="1"/>
  <c r="G440" i="1"/>
  <c r="I156" i="1"/>
  <c r="I98" i="1"/>
  <c r="G97" i="1"/>
  <c r="I99" i="1"/>
  <c r="D97" i="1"/>
  <c r="F97" i="1"/>
  <c r="I29" i="1"/>
  <c r="E97" i="1"/>
  <c r="E440" i="1"/>
  <c r="D440" i="1"/>
  <c r="G225" i="1"/>
  <c r="I225" i="1" s="1"/>
  <c r="I226" i="1"/>
  <c r="D438" i="1"/>
  <c r="I165" i="1"/>
  <c r="I205" i="1"/>
  <c r="G204" i="1"/>
  <c r="I204" i="1" s="1"/>
  <c r="I335" i="1"/>
  <c r="G439" i="1"/>
  <c r="I439" i="1" s="1"/>
  <c r="E259" i="1"/>
  <c r="I259" i="1" s="1"/>
  <c r="I136" i="1"/>
  <c r="G134" i="1"/>
  <c r="I134" i="1" s="1"/>
  <c r="F438" i="1"/>
  <c r="I416" i="1" l="1"/>
  <c r="F436" i="1"/>
  <c r="I332" i="1"/>
  <c r="I440" i="1"/>
  <c r="I97" i="1"/>
  <c r="E438" i="1"/>
  <c r="G436" i="1"/>
  <c r="I436" i="1" l="1"/>
  <c r="I438" i="1"/>
</calcChain>
</file>

<file path=xl/sharedStrings.xml><?xml version="1.0" encoding="utf-8"?>
<sst xmlns="http://schemas.openxmlformats.org/spreadsheetml/2006/main" count="1131" uniqueCount="302">
  <si>
    <t>Отчёт</t>
  </si>
  <si>
    <t xml:space="preserve">о реализации  муниципальных программ, </t>
  </si>
  <si>
    <t xml:space="preserve">действующих в муниципальном образовании Кольский район </t>
  </si>
  <si>
    <t>№ п/п</t>
  </si>
  <si>
    <t>Мероприятия*</t>
  </si>
  <si>
    <t>Источник финансирования</t>
  </si>
  <si>
    <t xml:space="preserve">Утвержденный объем финансирования </t>
  </si>
  <si>
    <t>Лимиты</t>
  </si>
  <si>
    <t>Исполнено</t>
  </si>
  <si>
    <t xml:space="preserve">фактическое финансирование  </t>
  </si>
  <si>
    <t>произведённые кассовые расходы</t>
  </si>
  <si>
    <t>Муниципальная программа "Развитие образования в Кольском районе Мурманской области" на 2021-2025 годы</t>
  </si>
  <si>
    <t>Подпрограмма 1 "Развитие образования в Кольском районе Мурманской области"</t>
  </si>
  <si>
    <t>Мероприятия по капитальному и текущему ремонту объектов образования</t>
  </si>
  <si>
    <t>бюджет Кольского района</t>
  </si>
  <si>
    <t>Исполнено на</t>
  </si>
  <si>
    <t>Модернизация образовательной среды, направленная на достижение современного качества учебных результатов</t>
  </si>
  <si>
    <t>Формирование условий, обеспечивающих соответствие образовательных организаций современным требованиям</t>
  </si>
  <si>
    <t xml:space="preserve">Расходы бюджета Кольского района на обеспечение комплексной безопасности муниципальных образовательных организаций </t>
  </si>
  <si>
    <t>Школьное здоровое питание</t>
  </si>
  <si>
    <t>Расходы на реализацию мероприятий государственной программы Российской Федерации "Доступная среда"</t>
  </si>
  <si>
    <t>Проведение мероприятий, направленных на формирование здорового образа жизни</t>
  </si>
  <si>
    <t>Расходы на реализацию мероприятий по модернизации школьных систем образования</t>
  </si>
  <si>
    <t>Субсидии на реализацию мероприятий по модернизации школьных систем образования</t>
  </si>
  <si>
    <t xml:space="preserve"> бюджет Мурманской области</t>
  </si>
  <si>
    <t>Субсидии на обеспечение комплексной безопасности муниципальных образовательных организаций</t>
  </si>
  <si>
    <t>бюджет Мурманской области</t>
  </si>
  <si>
    <t>Обеспечение комплексного развития сельских территорий</t>
  </si>
  <si>
    <t>федеральный бюджет</t>
  </si>
  <si>
    <t>Реализация мероприятий по модернизации школьных систем образования (капитальный ремонт зданий муниципальных общеобразовательных организаций)</t>
  </si>
  <si>
    <t>Реализация мероприятий по модернизации школьных систем образования (капитальный ремонт зданий общеобразовательных организаций Кольского муниципального района)</t>
  </si>
  <si>
    <t>Субсидии из областного бюджета местным бюджетам на реализацию инициативных проектов в муниципальных образованиях Мурманской области (Установка полифункциональной спортивно - оздоровительной площадки "Успешный старт")</t>
  </si>
  <si>
    <t>Всего по подпрограмме</t>
  </si>
  <si>
    <t>Всего, в т.ч.</t>
  </si>
  <si>
    <t>Подпрограмма 2 «Обеспечение отдыха и оздоровления детей»</t>
  </si>
  <si>
    <t>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</t>
  </si>
  <si>
    <t>Субсидия на организацию отдыха детей Мурманской области в муниципальных образовательных организациях</t>
  </si>
  <si>
    <t>Расходы бюджета Кольского района на организацию отдыха детей Мурманской области в муниципальных образовательных организациях</t>
  </si>
  <si>
    <t>Подпрограмма 3 «Обеспечение качественного предоставления услуг (работ) в сфере дошкольного образования»</t>
  </si>
  <si>
    <t>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</si>
  <si>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</si>
  <si>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</si>
  <si>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реализацию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</si>
  <si>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Расходы бюджета Кольского района на софинансирование расходов, направляемых на оплату  труда и начисления на выплаты по оплате труда работникам муниципальных учреждений</t>
  </si>
  <si>
    <t>Расходы бюджета Кольского района, превышающие размер расходного обязательства,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</si>
  <si>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</si>
  <si>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Подпрограмма 4 «Обеспечение качественного предоставления услуг (работ) в сфере общего образования»</t>
  </si>
  <si>
    <t>Расходы на обеспечение деятельности (оказание услуг)  подведомственных учреждений, в том числе на предоставление муниципальным бюджетным и автономным учреждениям субсидий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</si>
  <si>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- Образовательные организации</t>
  </si>
  <si>
    <t>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</si>
  <si>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Субвенция на реализацию Закона Мурманской области "О региональных нормативах финансового обеспечения образовательной деятельности в Мурманской области"</t>
  </si>
  <si>
    <t>Субвенция на обеспечение бесплатным питанием отдельных категорий обучающихся</t>
  </si>
  <si>
    <t>Расходы бюджета Кольского района на предоставление бесплатного питания отдельным категориям обучающихся по образовательным программам начального общего образования</t>
  </si>
  <si>
    <t>Расходы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</si>
  <si>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Ежемесячное денежное вознаграждение за классное руководство</t>
  </si>
  <si>
    <t>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</si>
  <si>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</si>
  <si>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</si>
  <si>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(доплата до регионального размера доходов)</t>
  </si>
  <si>
    <t>Расходы бюджета Кольского района на организацию бесплатного горячего питания обучающихся, получающих начальное общее образование в муниципальных образовательных организациях  (доплата до регионального размера доходов)</t>
  </si>
  <si>
    <t>Обеспечение выплат педагогическим работникам муниципальных общеобразовательных организаций за руководство школьными спортивными клубами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</si>
  <si>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ВФ</t>
  </si>
  <si>
    <t>Федеральный бюджет</t>
  </si>
  <si>
    <t>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 за счет резервного фонда Правительства РФ</t>
  </si>
  <si>
    <t>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</si>
  <si>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>Подпрограмма 5  «Обеспечение качественного предоставления услуг (работ) в сфере дополнительного образования»</t>
  </si>
  <si>
    <t>Проведение мероприятий для детей и молодёжи</t>
  </si>
  <si>
    <t>Расходы бюджета Кольского района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</si>
  <si>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Расходы бюджета Кольского района, превышающие размер расходного обязательства,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труда работникам муниципальных</t>
  </si>
  <si>
    <t>Предоставление субсидий социально ориентированным некоммерческим организациям на реализацию проекта по обеспечению развития системы дополнительного образования детей посредством внедрения механизма персонифицированого финансирования в Кольском районе</t>
  </si>
  <si>
    <t>Расходы на финансовое обеспечение муниципального задания на реализацию дополнительных общеразвивающих программ для детей в рамках исполнения  социального заказа на оказание муниципальных услуг в социальной сфере в соответствии с социальным сертификатом</t>
  </si>
  <si>
    <t>Субсидии в целях финансового обеспечения (возмещения) расходов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</t>
  </si>
  <si>
    <t>Субсидия на софинансирование капитальных вложений в объекты муниципальной собственности (Спортивный комплекс с плавательным бассейном "Энергетик", расположенный по адресу: Мурманская область, Кольский район, пгт. Мурмаши, ул Мисякова, д. 6)</t>
  </si>
  <si>
    <t>Расходы бюджета Кольского района на софинансирование капитальных вложений в объекты муниципальной собственности (Спортивный комплекс с плавательным бассейном "Энергетик", расположенный по адресу: Мурманская область, Кольский район, пгт. Мурмаши, ул. Мисякова, д. 6)</t>
  </si>
  <si>
    <t>Субсидия на софинансирование капитальных вложений в объекты муниципальной собственности (Фитнесс-центр "Престиж", расположенный в зданиях по адресам: Мурманская область, Кольский район, пгт. Мурмаши, ул. Мира, д. 14, ул. Мира, д. 13)</t>
  </si>
  <si>
    <t>Расходы бюджета Кольского района на софинансирование капитальных вложений в объекты муниципальной собственности (Фитнесс-центр "Престиж", расположенный в зданиях по адресам: Мурманская область, Кольский район, пгт. Мурмаши, ул. Мира, д. 14, ул. Мира, д. 13)</t>
  </si>
  <si>
    <t>Подпрограмма 6 «Обеспечение организационно-методической деятельности муниципальных учреждений Кольского района»</t>
  </si>
  <si>
    <t>Всего по программе</t>
  </si>
  <si>
    <t>Муниципальная программа "Развитие семейных форм устройства детей-сирот и детей, оставшихся без попечения родителей" на 2021-2025 годы</t>
  </si>
  <si>
    <t>Проведение торжественных мероприятий в рамках празднования Дня матери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</si>
  <si>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</si>
  <si>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 xml:space="preserve"> Субвенция из областного бюджета местным бюджетам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</si>
  <si>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</si>
  <si>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Субвенция на содержание ребёнка в семье опекуна (попечителя) и приёмной семье, а также вознаграждение, причитающееся приёмному родителю 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</si>
  <si>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</si>
  <si>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Муниципальная программа "Социальная поддержка отдельных категорий граждан" на 2021-2025 годы</t>
  </si>
  <si>
    <t>Ежемесячная доплата к страховой пенсии лицам, замещавшим муниципальные должности в муниципальном образовании Кольский район</t>
  </si>
  <si>
    <t>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указанных в подпунктах 1-6,6,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</si>
  <si>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предоставление мер социальной поддержки по оплате жилого помещения и коммунальных услуг детям-сиротам и детям, оставшихся без попечения родителей, лицам из числа детей-сирот и детей, оставшихся без попечения родителей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</si>
  <si>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</si>
  <si>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</si>
  <si>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Выплата пенсии за выслугу лет муниципальным служащим, замещавшим муниципальные должности муниципальной службы в муниципальном образовании Кольский район</t>
  </si>
  <si>
    <t>Предоставление и выплата ежемесячной доплаты к государственной трудовой пенсии  лицам, удостоенным звания "Почётный гражданин Кольского района"</t>
  </si>
  <si>
    <t>Субвенция на возмещение расходов по гарантированному перечню услуг по погребению</t>
  </si>
  <si>
    <t xml:space="preserve">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</t>
  </si>
  <si>
    <t>Муниципальная программа "Развитие физической культуры и спорта" на 2021-2025 годы</t>
  </si>
  <si>
    <t>Комплекс мероприятий, направленных на развитие массового спорта</t>
  </si>
  <si>
    <t>Расходы на выплаты спортсменам, судьям, привлекаемым для участия в физкультурно-спортивных мероприятиях</t>
  </si>
  <si>
    <t>Субсидия на развитие физкультурно-спортивной работы</t>
  </si>
  <si>
    <t>Расходы бюджета Кольского района на развитие физкультурно-спортивной работы</t>
  </si>
  <si>
    <t>Субсидии бюджетам муниципальных образований на открытие спортивных пространств для молодежи</t>
  </si>
  <si>
    <t>Расходы бюджета Кольского района на открытие спортивных пространств для молодежи</t>
  </si>
  <si>
    <t>Расходы на проведение работ по подготовке лыжной трассы в г. Кола</t>
  </si>
  <si>
    <t>Муниципальная программа "Развитие культуры" на 2021-2025 годы</t>
  </si>
  <si>
    <t xml:space="preserve">Подпрограмма 1 "Сохранение и развитие дополнительного образования в сфере культуры и искусства" </t>
  </si>
  <si>
    <t>Расходы бюджета Кольского района на софинансирование расходов, направленных на оплату труда и начисления на выплаты по оплате труда, работникам муниципальных учреждений</t>
  </si>
  <si>
    <t xml:space="preserve">Подпрограмма 2 "Сохранение и развитие библиотечной и культурно-досуговой деятельности" </t>
  </si>
  <si>
    <t>Организация и проведение культурно-массовых и праздничных мероприятий</t>
  </si>
  <si>
    <t>Субсидии на реализацию проектов в области культуры и искусства</t>
  </si>
  <si>
    <t>Расходы бюджета Кольского района по обеспечению и реализации социально-значимых мероприятий</t>
  </si>
  <si>
    <t>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</si>
  <si>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Расходы бюджета Кольского района 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</si>
  <si>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</t>
  </si>
  <si>
    <t xml:space="preserve">Подпрограмма 3 "Модернизация учреждений культуры, искусства, образования в сфере культуры и искусства" </t>
  </si>
  <si>
    <t>Обеспечение развития и укрепления материально-технической базы учреждений культуры</t>
  </si>
  <si>
    <t>Мероприятия по капитальному и текущему ремонту объектов культуры</t>
  </si>
  <si>
    <t>Муниципальная программа "Энергосбережение и повышение энергетической эффективности" на 2021-2027 годы</t>
  </si>
  <si>
    <t>Стимулирование энергосбережения и повышение энергетической эффективности муниципальных учреждений</t>
  </si>
  <si>
    <t>Муниципальная программа "Развитие транспортной системы" на 2021-2025 годы</t>
  </si>
  <si>
    <t>Подпрограмма 2 "Повышение безопасности дорожного движения и снижение дорожно-транспортного травматизма"</t>
  </si>
  <si>
    <t xml:space="preserve">Мероприятия, связанные с повышением безопасности дорожного движения и снижение дорожно-транспортного травматизма в Кольском районе </t>
  </si>
  <si>
    <t>Подпрограмма 3 "Развитие дорожного хозяйства сельских поселений"</t>
  </si>
  <si>
    <t>Обслуживание и содержание дорог местного значения в границах сельских поселений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</si>
  <si>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</t>
  </si>
  <si>
    <t>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</si>
  <si>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</t>
  </si>
  <si>
    <t>Иные межбюджетные трансферты бюджетам сельских поселений Кольского района на осуществление части функций,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</t>
  </si>
  <si>
    <t>Расходы бюджета Кольского района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</si>
  <si>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Всего:</t>
  </si>
  <si>
    <t>Муниципальная программа "Развитие экономического потенциала и формирование благоприятного предпринимательского климата в Кольском районе" на 2022-2026 годы</t>
  </si>
  <si>
    <t>Подпрограмма 1 "Содействие развитию субъектов малого  предпринимательства"</t>
  </si>
  <si>
    <t>Предоставление финансовой поддержки субъектам малого предпринимательства, в том числе крестьянско-фермерским хозяйствам</t>
  </si>
  <si>
    <t>Подпрограмма 2 "Поддержка социально ориентированных некоммерческих организаций"</t>
  </si>
  <si>
    <t>Предоставление субсидий общественным организациям инвалидов</t>
  </si>
  <si>
    <t>Предоставление субсидий социально ориентированным некоммерческим организациям, созданным в форме хуторских казачьих обществ, внесенных в государственный реестр казачьих обществ Российской Федерации, на финансовое обеспечение и возмещение затрат на оплату коммунальных ресурсов, потребленных в текущем периоде и прошлом году на содержание занимаемого нежилого помещения</t>
  </si>
  <si>
    <t>Предоставление субсидий социально ориентированным некоммерческим организациям, созданным в форме общественных организаций и осуществляющим деятельность в области спорта, на финансовое обеспечение расходов по оплате коммунальных услуг, потребленных в текущем финансовом году на водоснабжение, отопление, подогрев воды, электроснабжение занимаемого  нежилого помещения</t>
  </si>
  <si>
    <t>Подпрограмма 3 "Развитие торговли в Кольском районе"</t>
  </si>
  <si>
    <t>Приобретение оборудования для проведения ярмарок</t>
  </si>
  <si>
    <t>Прибретение сувенирной, печатной продукции</t>
  </si>
  <si>
    <t>Муниципальная программа "Управление муниципальными финансами" на  2021 -2025 годы</t>
  </si>
  <si>
    <t>Подпрограмма 1 "Управление муниципальными финансами"</t>
  </si>
  <si>
    <t>Услуги по предоставлению доступа к сети Интернет</t>
  </si>
  <si>
    <t>Выполнение работ по заправке картриджей, устранению неисправностей (восстановлению работоспособности) картриджей, оргтехники, электронно-вычислительных машин и используемого совместно с ними периферийного и офисного оборудования</t>
  </si>
  <si>
    <t>Приобретение, обновление, сопровождение лицензионного программного обеспечения с определенным сроком полезного использования (включая информационные системы электронно-цифровых подписей)</t>
  </si>
  <si>
    <t>Выполнение работ по установке (расширению) и модернизации единых функциональных систем</t>
  </si>
  <si>
    <t>Приобретение (модернизация) компьютерной техники, оргтехники</t>
  </si>
  <si>
    <t>Приобретение комплектующих и расходных материалов для компьютерной и офисной техники</t>
  </si>
  <si>
    <t>Приобретение, обновление, сопровождение лицензионного программного обеспечения с неопределенным сроком полезного использования (включая информационные системы)</t>
  </si>
  <si>
    <t>Подпрограмма 2 "Создание условий для сбалансированного и устойчивого исполнения местных бюджетов, содействие повышению качества управления муниципальными финансами"</t>
  </si>
  <si>
    <t>Выравнивание бюджетной обеспеченности муниципальных образований</t>
  </si>
  <si>
    <t xml:space="preserve"> Поддержка мер по обеспечению сбалансированности местных бюджетов</t>
  </si>
  <si>
    <t>Всего, в том числе:</t>
  </si>
  <si>
    <t>Муниципальная программа "Управление муниципальным имуществом Кольского района" на 2020-2025 гг.</t>
  </si>
  <si>
    <t>Распоряжение, формирование, управление муниципальным имуществом, (кроме земельных участков), их учёт и содержание</t>
  </si>
  <si>
    <t>Расходы бюджета Кольского района на оплату взносов на капитальный ремонт жилого фонда, отнесённого к специализированному жилищному фонду</t>
  </si>
  <si>
    <t>Муниципальная программа "Охрана окружающей среды" на 2021-2025 годы</t>
  </si>
  <si>
    <t>Расходы на организацию мероприятий по обеспечению чистоты и порядка на территории муниципального образования</t>
  </si>
  <si>
    <t>Расходы по содержанию и обслуживанию ГТС ограждающей дамбы помётохранилища (бывшие птицефабрики)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</si>
  <si>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</si>
  <si>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Субсидия на реализацию мероприятий, направленных на ликвидацию накопленного экологического ущерба</t>
  </si>
  <si>
    <t>Расходы бюджета Кольского района на реализацию мероприятий, направленных на ликвидацию накопленного экологического ущерба</t>
  </si>
  <si>
    <t>Ликвидация несанкционированных свалок в границах городов и наиболее опасных объектов накопленного вреда окружающей среде (Рекультивация пометохранилища бывшего ОАО "Птицефабрика "Снежная")</t>
  </si>
  <si>
    <t>Муниципальная программа "Развитие гражданского общества в Кольском районе Мурманской области" на 2021-2025 годы</t>
  </si>
  <si>
    <t xml:space="preserve">Подпрограмма 1 "Комплексные меры по ограничению темпов роста наркомании, алкоголизма и сопутствующих им заболеваний в Кольском районе </t>
  </si>
  <si>
    <t>Комплекс мер по обеспечению поддержки и сопровождения антинаркотической и антиалкогольной деятельности в Кольском районе</t>
  </si>
  <si>
    <t>Реализация комплекса мер, направленного на профилактику негативных явлений в обществе, формирование здорового образа жизни у населения Кольского района, в том числе детской и молодёжной среде</t>
  </si>
  <si>
    <t>Оказание методической помощи организаторам и участникам профилактической антинаркотической и антиалкогольной деятельности</t>
  </si>
  <si>
    <t xml:space="preserve">Подпрограмма 2 "Профилактика правонарушений в Кольском районе" </t>
  </si>
  <si>
    <t>Комплекс мер, направленных на обеспечение общественной безопасности и профилактику правонарушений на территории Кольского района, в том числе в детской и молодёжной среде</t>
  </si>
  <si>
    <t>Обеспечение мер по информационной и материальной поддержке участников профилактической деятельности</t>
  </si>
  <si>
    <t>Выплата денежной премии участникам акции "Правовой район"</t>
  </si>
  <si>
    <t>Материальное поощрение народных дружинников, принимавших участие в обеспечении охраны общественного порядка на территории поселений Кольского района</t>
  </si>
  <si>
    <t xml:space="preserve">Подпрограмма 3 "Противодействие терроризму и экстремизму, предупреждение межнациональных конфликтов на территории Кольского района" </t>
  </si>
  <si>
    <t>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</t>
  </si>
  <si>
    <t>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</t>
  </si>
  <si>
    <t>13.</t>
  </si>
  <si>
    <t xml:space="preserve">Муниципальная программа "Развитие муниципального управления" на 2021-2025 годы </t>
  </si>
  <si>
    <t xml:space="preserve">Подпрограмма 1 "Обеспечение деятельности и функций администрации Кольского района и государственных полномочий" </t>
  </si>
  <si>
    <t>Расходы на выплаты по оплате труда главы местной администрации</t>
  </si>
  <si>
    <t>Расходы на обеспечение функций главы муниципального образования</t>
  </si>
  <si>
    <t>Расходы на выплаты по оплате труда работников органов местного самоуправления</t>
  </si>
  <si>
    <t>Расходы на обеспечение функций работников органов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</si>
  <si>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</si>
  <si>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направления расходов муниципальной программы</t>
  </si>
  <si>
    <t>Мероприятия по созданию и обеспечению функционирования системы технической защиты информации</t>
  </si>
  <si>
    <t>Членские взносы в Совет муниципальных образований Мурманской области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</si>
  <si>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</si>
  <si>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</si>
  <si>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</si>
  <si>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</si>
  <si>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</si>
  <si>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</si>
  <si>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Заключение соглашений на поставку материальных ресурсов на ликвидацию последствий чрезвычайных ситуаций природного и техногенного характера</t>
  </si>
  <si>
    <t>Расходы на приобретение вещевого имущества и предметов первой необходимости для оснащения защитного сооружения</t>
  </si>
  <si>
    <t>Расходы на выполнение работ по тушению лесных пожаров на землях сельских поселений, находящихся в границах территории муниципального образования Кольский район</t>
  </si>
  <si>
    <t>Обеспечение питанием добровольцев, принимавших участие в оказании помощи в ликвидации природных пожаров на территории сельских поселений Кольского района</t>
  </si>
  <si>
    <t>Субсидия 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</si>
  <si>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</si>
  <si>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Субвенция на осуществление отдельных государственных полномочий по установлению регулируемых тарифов на перевозки пассажиров а багажа автомобильным транспортом и городским наземным электрическим транспортом</t>
  </si>
  <si>
    <t>Подготовка проектов изминений в Правила землепользования и застройки муниципальных образований: с.п. Ура-Губа, с.п. Тулома, с.п. Териберка</t>
  </si>
  <si>
    <t>Оценка рыночной стоимости права заключения договора на установку и эксплуатацию рекламной конструкции на земельном участке, который находится в государственной собственности, муниципальной собственности или государственная собственность на которой не разграничена</t>
  </si>
  <si>
    <t>Актуализация схем градостроительной деятельности сельских поселений Кольского района</t>
  </si>
  <si>
    <t xml:space="preserve">Расходы на выплаты по оплате труда работников органов местного самоуправления, выполняющих переданные полномочия поселений </t>
  </si>
  <si>
    <t>бюджет поселений Кольского района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</si>
  <si>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выполняющих переданные полномочия поселений</t>
  </si>
  <si>
    <t>Расходы на обеспечение функций работников органов местного самоуправления, выполняющих переданные полномочия поселений</t>
  </si>
  <si>
    <t>Расходы на обеспечение функций главы местной администрации</t>
  </si>
  <si>
    <t>Материальное поощерение добровольцев, принимавших участие в оказании помощи в ликвидации природных пожаров на территории городских поселений Кольского района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</si>
  <si>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</si>
  <si>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Расходы бюджета Кольского района на техническое сопровождение программного обеспечения "Система автоматизмрованного рабочего места муниципального образования"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</si>
  <si>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</si>
  <si>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Расходы на единовременное поощерение за многолетнию безупречную муниципальную службу, выплачиваемую муниципальным служащим</t>
  </si>
  <si>
    <t>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освобождений от замещаемой должности при увольнении</t>
  </si>
  <si>
    <t>Актуализация схемы территориального планирования Кольского района</t>
  </si>
  <si>
    <t xml:space="preserve">   </t>
  </si>
  <si>
    <t xml:space="preserve">Подпрограмма 2 "Обеспечение деятельности муниципальных учреждений, подведомственных администрации Кольского района по выполнению муниципальных функций" </t>
  </si>
  <si>
    <t>Расходы на содержание муниципального учреждения "Отдел муниципального заказа администрации Кольского района"</t>
  </si>
  <si>
    <t>Расходы на содержание МКУ "Кольский архив"</t>
  </si>
  <si>
    <t>Расходы на содержание МФЦ в Кольском районе</t>
  </si>
  <si>
    <t>Иной межбюджетный трансферт из областного бюджета бюджетам на организацию выездного обслуживания населения муниципальными многофункциональными центрами</t>
  </si>
  <si>
    <t>Расходы на содержание МАУ "Редакция газеты" Кольское слово"</t>
  </si>
  <si>
    <t>Расходы на содержание МБУ "Централизованная бухгалтерия по обслуживанию муниципальных учреждений Кольского района"</t>
  </si>
  <si>
    <t>Расходы на содержание муниципального казенного учреждения "Хозяйственно-эксплуатационная служба Кольского района"</t>
  </si>
  <si>
    <t>Субвенция на организацию предоставления мер социальной поддержки по оплате жилого помещения и коммунальных усуг детям-сиротам и детям, оставшимся без попечения родителей, лцам из числа детей-сирот и детей, оставшихся без попечения родителей</t>
  </si>
  <si>
    <t>Расходы на содержание МКУ "Управление ОБН Кольского района"</t>
  </si>
  <si>
    <t>Расходы на содержание МКУ "Управление ОБН Кольского района" за счёт поселений</t>
  </si>
  <si>
    <t>Расходы на реконструкцию нежилого здания по адресу: поселок Мурмаши Кольского района, улица Кирова, д.7</t>
  </si>
  <si>
    <t xml:space="preserve">Подпрограмма 3 "Развитие кадрового потенциала администрации Кольского района" </t>
  </si>
  <si>
    <t>Профессиональная подготовка и повышение квалификации муниципальных служащих</t>
  </si>
  <si>
    <t>Муниципальная программа "Молодёжь Кольского района" на 2021-2025 годы</t>
  </si>
  <si>
    <t>Организация и проведение мероприятий, направленных на поддержку и продвижение талантливых детей и молодёжи Кольского района</t>
  </si>
  <si>
    <t>Комплекс мер, направленный на реализацию мероприятий государственной молодёжной политики</t>
  </si>
  <si>
    <t>Реализация комплекса мер, направленного на воспитание у детей и молодёжи патриотизма и чувства долга перед Отечеством</t>
  </si>
  <si>
    <t>Организация и проведение мероприятий, направленных на формирование у молодёжи российской идентичности и профилактику этнического и религиозно-политического экстремизма в молодёжной среде</t>
  </si>
  <si>
    <t>Выплата стипендии Главы администрации Кольского района одарённым детям, торжественное вручение первых стипендий</t>
  </si>
  <si>
    <t>Субсидия бюджетам муниципальных образований на реализацию мероприятий по созданию условий для функционирования Комнат и Домов  Всероссийского военно-патриотического общественного движения "ЮНАРМИЯ"</t>
  </si>
  <si>
    <t>Расходы бюджета Кольского района на реализацию мероприятий по созданию условий для функционирования Комнат и Домов  Всероссийского военно-патриотического общественного движения "ЮНАРМИЯ"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</si>
  <si>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</si>
  <si>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Расходы на обеспечение деятельности (оказание услуг) подведомственных учреждений в целях вовлечения молодежи в социальную практику, формированиеделовой, экономической и политической активности, в том числе на предоставление муниципальным бюджетным и автономным учреждениям субсидий</t>
  </si>
  <si>
    <t xml:space="preserve">              Реализация программы комплексного развития молодежной политики в регионах Российской Федерации "Регион для молодых"</t>
  </si>
  <si>
    <t>Муниципальная программа "Развитие коммунальной инфраструктуры" на 2021-2024 годы</t>
  </si>
  <si>
    <t>Подпрограмма 1 "Содержание и ремонт муниципального жилищного фонда Кольского района"</t>
  </si>
  <si>
    <t>Расходы по внесению платы за содержание и ремонт пустующего жилого помещения, относящегося к муниципальному жилищному фонду</t>
  </si>
  <si>
    <t>Расходы по внесению платы за коммунальные услуги по пустующим жилым помещениям, относящимся к муниципальному жилищному фонду</t>
  </si>
  <si>
    <t>Расходы бюджета Кольского района на оплату взносов на капитальный ремонт за муниципальный нежилой фонд в составе МКД</t>
  </si>
  <si>
    <t>Проведение экспертизы и технического обследования муниципального жилищного фонда в сельских поселениях Кольского района</t>
  </si>
  <si>
    <t xml:space="preserve">Текущий ремонт муниципального жилищного фонда </t>
  </si>
  <si>
    <t>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</si>
  <si>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Кольского района на оплату взносов на капитальный ремонт за муниципальный жилой фонд </t>
  </si>
  <si>
    <t>Расходы по внесению платы за содержание и ремонт пустующих муниципальных нежилых помещений, в составе МКД</t>
  </si>
  <si>
    <t>Расходы по внесению платы за коммунальные услуги по пустующим муниципальным нежилым помещениям, в составе МКД</t>
  </si>
  <si>
    <t>Расходы бюджета Кольского района на создание и содержание мест (площадок) накопления ТКО на территории сельских поселений Кольского района и г. Кола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</si>
  <si>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Тулома, ул. Школьная д. 6)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</si>
  <si>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подъездов и входных групп в МКД по адресу: Кольский район, с.п. Пушной, ул. Ленинградская, дом 5)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</si>
  <si>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д.15)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</si>
  <si>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д.14)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</si>
  <si>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подъездов и входных групп в МКД по адресу: Кольский район, с.п. Пушной, жд/ст Лопарская, ул. ОПХ "Восход", дом 13)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</si>
  <si>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Тулома, ул. Школьная д. 6)</t>
  </si>
  <si>
    <t>Расходы бюджета Кольского района на реализацию инициативных проектов (Ремонт подъездов и входных групп в МКД по адресу: Кольский район, с.п. Пушной, ул. Ленинградская, дом 5)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</si>
  <si>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д.15)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</si>
  <si>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д.14)</t>
  </si>
  <si>
    <t>Расходы бюджета Кольского района на реализацию инициативных проектов (Ремонт подъездов и входных групп в  МКД по адресу: Кольский район, с.п. Пушной, жд/ст Лопарская, ул. ОПХ "Восход", дом 13)</t>
  </si>
  <si>
    <t>Текущий ремонт муниципального жилищного фонда за счет иных межбюджетных трансфертов из бюджета с.п. Междуречье</t>
  </si>
  <si>
    <t xml:space="preserve">Подпрограмма 2 "Подготовка объектов жилищно-коммунального хозяйства муниципального образования Кольский район к работе в отопительный период" </t>
  </si>
  <si>
    <t>Ремонтные работы на объектах тепло-. водо-. Электроснабжения в сельских поселениях Кольского района в рамках подготовки к отопительному периоду</t>
  </si>
  <si>
    <t>Проведение экспертизы и технического обследования на объектах тепло-. водо-. электроснабжения в сельских поселениях Кольского района</t>
  </si>
  <si>
    <t xml:space="preserve">Субсидия бюджетам муниципальных образований на подготовку к отопительному периоду </t>
  </si>
  <si>
    <t xml:space="preserve">Расходы бюджета Кольского района на подготовку к отопительному периоду </t>
  </si>
  <si>
    <t>Актуализация схем тепло-,водо-, электроснабжения в сельских поселениях Кольского района</t>
  </si>
  <si>
    <t xml:space="preserve">Подпрограмма 3 "Модернизация объектов коммунальной инфраструктуры" </t>
  </si>
  <si>
    <t>Расходы на модернизацию, ремонт и эксплуатацию муниципальных тепло, водо, электрических сетей в сельских поселениях Кольского района</t>
  </si>
  <si>
    <t>Расходы на организацию уличного освещения в сельских поселениях Кольского района</t>
  </si>
  <si>
    <t>Расходы бюджета Кольского района на реализацию мероприятий, направленных на установку индивидуальных домовых электрокотельных в населенных пунктах Кольского района</t>
  </si>
  <si>
    <t>Подпрограмма 4 "Обеспечение полномочий учредителя муниципальных унитарных предприятий"</t>
  </si>
  <si>
    <t>Субсидии муниципальным унитарным предприятиям, осуществляющим отдельные виды деятельности на территории сельских поселений Кольского района на частичное возмещение затрат, связанных с производством и реализацией тепловой энергии, в рамках мер по предупреждению банкротства</t>
  </si>
  <si>
    <t xml:space="preserve">Подпрограмма 5 "Снос ветхого и аварийного жилищного фонда на территории сельских поселений Кольского района" </t>
  </si>
  <si>
    <t xml:space="preserve">Расходы бюджета Кольского района на обеспечение мероприятий по сносу аварийных расселённых жилых домов и нежилых построеек </t>
  </si>
  <si>
    <t xml:space="preserve">Подпрограмма 6 "Обеспечение проведения капитального ремонта общего имущества многоквартирных домов, расположенных на территории сельских поселений Кольского района" </t>
  </si>
  <si>
    <t>Субсидии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на обеспечение затрат на проведение аварийных работ и/ или капитального ремонта общего имущества многоквартирных домов и на проведение мероприятий, направленных на обеспечение энергоснабжения и повышение энергетической эффективности многоквартирных домов, расположенных на территории сельских поселений Кольского района</t>
  </si>
  <si>
    <t>Всего</t>
  </si>
  <si>
    <t xml:space="preserve">Подпрограмма 7 "Обеспечение мероприятий по организации ритуальных услуг и содержанию мест захоронения, расположенных на территории сельских поселений Кольского района" </t>
  </si>
  <si>
    <t>Иные межбюджетные трансферты на осуществление части функций, связанных с исполнением полномочий по организации ритуальных услуг и содержанию мест захоронения на территории сельских поселений Кольского района</t>
  </si>
  <si>
    <t>Расходы на содержание "Мемориального комплекса "Долина Славы"</t>
  </si>
  <si>
    <t>Иной межбюджетный трансферт из областного бюджета бюджету муниципального образования Кольский муниципальный район Мурманской области на развитие объекта культурного наследия регионального значения "Мемориальный комплекс "Долина Славы"</t>
  </si>
  <si>
    <t>Муниципальная программа "Управление земельными ресурсами Кольского района" на 2020-2025 гг.</t>
  </si>
  <si>
    <t>Управление земельными участками, формирование, их учёт и сдержание</t>
  </si>
  <si>
    <t xml:space="preserve"> Исполнено на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</si>
  <si>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</si>
  <si>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Проведение комплексных кадастровых работ</t>
  </si>
  <si>
    <t>Муниципальная программа "Обеспечение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района" на 2022-2024 годы</t>
  </si>
  <si>
    <t>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</t>
  </si>
  <si>
    <t>Материально-техническое обеспечение пожарной безопасности, в том числе обеспечение первичными средствами пожаротушения и пожарным инвентарем территорий и объектов защиты, находящихся в муниципальной собственности</t>
  </si>
  <si>
    <t>Подготовка и размещение информационных материалов на противопожарную тематику</t>
  </si>
  <si>
    <t>Всего по муниципальным программам</t>
  </si>
  <si>
    <t>по итогам 2 квартала 2024 года</t>
  </si>
  <si>
    <t>Расходы бюджета Кольского района на реализацию инициативных проектов в муниципальных образованиях Мурманской области (Установка полифункциональной спортивно - оздоровительной площадки "Успешный старт")</t>
  </si>
  <si>
    <t>Субвенции из областного бюджета местным бюджетам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 (за счет средств резервного фонда Правительства Мурманской области)</t>
  </si>
  <si>
    <t>Бюджет Кольского района</t>
  </si>
  <si>
    <t>Обеспечение комплексного социально - экономического развития села Белокаменка с.п. Междуречье Кольского района в рамках Соглашения о социально-экономическом сотрудничестве с ООО "НОВАТЭК-Мурманск"</t>
  </si>
  <si>
    <t>Субсидии из областного бюджета местным бюджетам на финансовое обеспечение затрат по формированию материально-технической базы, необходимой для функционирования отделений Общероссийского общественно - государственного движения детей и молодежи на территории Мурманской области</t>
  </si>
  <si>
    <t>Расходы бюджета Кольского района на финансовое обеспечение затрат по формированию материально-технической базы, 
необходимой для функционирования отделений Общероссийского общественно-государственного движения детей и молодежи на территории Мурманской области</t>
  </si>
  <si>
    <r>
      <t xml:space="preserve">Оценка выполнения </t>
    </r>
    <r>
      <rPr>
        <sz val="11.5"/>
        <rFont val="Times New Roman"/>
        <family val="1"/>
        <charset val="204"/>
      </rPr>
      <t>(краткое описание исполнения программы; либо причины неисполнения)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</si>
</sst>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#,##0.0"/>
    <numFmt numFmtId="165" formatCode="0.0%"/>
    <numFmt numFmtId="166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16">
      <alignment vertical="top" wrapText="1"/>
    </xf>
    <xf numFmtId="1" fontId="10" fillId="0" borderId="16">
      <alignment horizontal="center" vertical="top" shrinkToFit="1"/>
    </xf>
    <xf numFmtId="4" fontId="9" fillId="3" borderId="16">
      <alignment horizontal="right" vertical="top" shrinkToFit="1"/>
    </xf>
  </cellStyleXfs>
  <cellXfs count="143">
    <xf numFmtId="0" fontId="0" fillId="0" borderId="0" xfId="0"/>
    <xf numFmtId="0" fontId="4" fillId="2" borderId="0" xfId="0" applyFont="1" applyFill="1"/>
    <xf numFmtId="0" fontId="4" fillId="0" borderId="0" xfId="0" applyFont="1" applyFill="1"/>
    <xf numFmtId="0" fontId="3" fillId="2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0" fontId="7" fillId="2" borderId="0" xfId="0" applyFont="1" applyFill="1"/>
    <xf numFmtId="0" fontId="4" fillId="2" borderId="15" xfId="0" applyFont="1" applyFill="1" applyBorder="1"/>
    <xf numFmtId="0" fontId="4" fillId="2" borderId="0" xfId="0" applyFont="1" applyFill="1" applyBorder="1"/>
    <xf numFmtId="164" fontId="3" fillId="2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2" borderId="0" xfId="0" applyNumberFormat="1" applyFont="1" applyFill="1"/>
    <xf numFmtId="0" fontId="2" fillId="0" borderId="0" xfId="0" applyFont="1" applyFill="1" applyAlignment="1">
      <alignment horizontal="right"/>
    </xf>
    <xf numFmtId="43" fontId="3" fillId="0" borderId="0" xfId="1" applyFont="1" applyFill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43" fontId="6" fillId="0" borderId="0" xfId="1" applyFont="1" applyFill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8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right" vertical="center" wrapText="1"/>
    </xf>
    <xf numFmtId="165" fontId="6" fillId="0" borderId="10" xfId="2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/>
    <xf numFmtId="0" fontId="12" fillId="0" borderId="13" xfId="0" applyFont="1" applyFill="1" applyBorder="1" applyAlignment="1">
      <alignment horizontal="right" vertical="center" wrapText="1"/>
    </xf>
    <xf numFmtId="165" fontId="6" fillId="0" borderId="14" xfId="2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right" vertical="center" wrapText="1"/>
    </xf>
    <xf numFmtId="165" fontId="6" fillId="0" borderId="4" xfId="2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165" fontId="8" fillId="0" borderId="4" xfId="2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/>
    <xf numFmtId="0" fontId="12" fillId="0" borderId="6" xfId="0" applyFont="1" applyFill="1" applyBorder="1" applyAlignment="1">
      <alignment horizontal="right" vertical="center" wrapText="1"/>
    </xf>
    <xf numFmtId="165" fontId="6" fillId="0" borderId="7" xfId="2" applyNumberFormat="1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right" vertical="center" wrapText="1"/>
    </xf>
    <xf numFmtId="165" fontId="8" fillId="0" borderId="7" xfId="2" applyNumberFormat="1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 wrapText="1"/>
    </xf>
    <xf numFmtId="165" fontId="8" fillId="0" borderId="10" xfId="2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8" fillId="0" borderId="12" xfId="0" applyNumberFormat="1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right" vertical="center" wrapText="1"/>
    </xf>
    <xf numFmtId="165" fontId="8" fillId="0" borderId="14" xfId="2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</cellXfs>
  <cellStyles count="6">
    <cellStyle name="xl25" xfId="4" xr:uid="{51D14B16-AF11-47A2-A251-8ED7454D79DB}"/>
    <cellStyle name="xl37" xfId="3" xr:uid="{02F17176-265D-4497-86E8-3C8C4DFDE7D3}"/>
    <cellStyle name="xl38" xfId="5" xr:uid="{BEA09D08-23C9-4CB8-A0E3-FD8997B09568}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5074-C4E4-48E9-8C90-ADBC8E97BD9D}">
  <sheetPr>
    <pageSetUpPr fitToPage="1"/>
  </sheetPr>
  <dimension ref="A1:Q444"/>
  <sheetViews>
    <sheetView tabSelected="1" topLeftCell="A434" zoomScale="118" zoomScaleNormal="118" workbookViewId="0">
      <selection activeCell="I440" sqref="A1:I440"/>
    </sheetView>
  </sheetViews>
  <sheetFormatPr defaultRowHeight="15.75" x14ac:dyDescent="0.25"/>
  <cols>
    <col min="1" max="1" width="5.85546875" style="2" customWidth="1"/>
    <col min="2" max="2" width="47" style="11" customWidth="1"/>
    <col min="3" max="3" width="20.42578125" style="2" customWidth="1"/>
    <col min="4" max="4" width="18.7109375" style="2" customWidth="1"/>
    <col min="5" max="5" width="17" style="2" customWidth="1"/>
    <col min="6" max="6" width="18.5703125" style="2" customWidth="1"/>
    <col min="7" max="7" width="19.140625" style="2" customWidth="1"/>
    <col min="8" max="8" width="15.42578125" style="13" customWidth="1"/>
    <col min="9" max="9" width="10.5703125" style="14" bestFit="1" customWidth="1"/>
    <col min="10" max="10" width="11.85546875" style="1" bestFit="1" customWidth="1"/>
    <col min="11" max="12" width="10.5703125" style="1" bestFit="1" customWidth="1"/>
    <col min="13" max="16384" width="9.140625" style="1"/>
  </cols>
  <sheetData>
    <row r="1" spans="1:9" ht="18.75" x14ac:dyDescent="0.3">
      <c r="A1" s="35" t="s">
        <v>0</v>
      </c>
      <c r="B1" s="35"/>
      <c r="C1" s="35"/>
      <c r="D1" s="35"/>
      <c r="E1" s="35"/>
      <c r="F1" s="35"/>
      <c r="G1" s="35"/>
      <c r="H1" s="36"/>
      <c r="I1" s="37"/>
    </row>
    <row r="2" spans="1:9" ht="18.75" x14ac:dyDescent="0.3">
      <c r="A2" s="35" t="s">
        <v>1</v>
      </c>
      <c r="B2" s="35"/>
      <c r="C2" s="35"/>
      <c r="D2" s="35"/>
      <c r="E2" s="35"/>
      <c r="F2" s="35"/>
      <c r="G2" s="35"/>
      <c r="H2" s="36"/>
      <c r="I2" s="37"/>
    </row>
    <row r="3" spans="1:9" ht="18.75" x14ac:dyDescent="0.3">
      <c r="A3" s="35" t="s">
        <v>2</v>
      </c>
      <c r="B3" s="35"/>
      <c r="C3" s="35"/>
      <c r="D3" s="35"/>
      <c r="E3" s="35"/>
      <c r="F3" s="35"/>
      <c r="G3" s="35"/>
      <c r="H3" s="36"/>
      <c r="I3" s="37"/>
    </row>
    <row r="4" spans="1:9" ht="18.75" x14ac:dyDescent="0.3">
      <c r="A4" s="35" t="s">
        <v>294</v>
      </c>
      <c r="B4" s="35"/>
      <c r="C4" s="35"/>
      <c r="D4" s="35"/>
      <c r="E4" s="35"/>
      <c r="F4" s="35"/>
      <c r="G4" s="35"/>
      <c r="H4" s="36"/>
      <c r="I4" s="37"/>
    </row>
    <row r="5" spans="1:9" x14ac:dyDescent="0.25">
      <c r="A5" s="38"/>
      <c r="B5" s="39"/>
      <c r="C5" s="40"/>
      <c r="D5" s="40"/>
      <c r="E5" s="40"/>
      <c r="F5" s="40"/>
      <c r="G5" s="40"/>
      <c r="H5" s="36"/>
      <c r="I5" s="37"/>
    </row>
    <row r="6" spans="1:9" s="2" customFormat="1" x14ac:dyDescent="0.25">
      <c r="A6" s="41" t="s">
        <v>3</v>
      </c>
      <c r="B6" s="42" t="s">
        <v>4</v>
      </c>
      <c r="C6" s="42" t="s">
        <v>5</v>
      </c>
      <c r="D6" s="43" t="s">
        <v>6</v>
      </c>
      <c r="E6" s="42" t="s">
        <v>7</v>
      </c>
      <c r="F6" s="41" t="s">
        <v>8</v>
      </c>
      <c r="G6" s="41"/>
      <c r="H6" s="44" t="s">
        <v>301</v>
      </c>
      <c r="I6" s="45"/>
    </row>
    <row r="7" spans="1:9" s="2" customFormat="1" ht="69" customHeight="1" x14ac:dyDescent="0.25">
      <c r="A7" s="41"/>
      <c r="B7" s="42"/>
      <c r="C7" s="42"/>
      <c r="D7" s="46"/>
      <c r="E7" s="42"/>
      <c r="F7" s="24" t="s">
        <v>9</v>
      </c>
      <c r="G7" s="24" t="s">
        <v>10</v>
      </c>
      <c r="H7" s="47"/>
      <c r="I7" s="48"/>
    </row>
    <row r="8" spans="1:9" s="2" customFormat="1" x14ac:dyDescent="0.25">
      <c r="A8" s="24">
        <v>1</v>
      </c>
      <c r="B8" s="30" t="s">
        <v>11</v>
      </c>
      <c r="C8" s="31"/>
      <c r="D8" s="31"/>
      <c r="E8" s="31"/>
      <c r="F8" s="31"/>
      <c r="G8" s="31"/>
      <c r="H8" s="31"/>
      <c r="I8" s="32"/>
    </row>
    <row r="9" spans="1:9" s="2" customFormat="1" x14ac:dyDescent="0.25">
      <c r="A9" s="49"/>
      <c r="B9" s="30" t="s">
        <v>12</v>
      </c>
      <c r="C9" s="31"/>
      <c r="D9" s="31"/>
      <c r="E9" s="31"/>
      <c r="F9" s="31"/>
      <c r="G9" s="31"/>
      <c r="H9" s="50"/>
      <c r="I9" s="51"/>
    </row>
    <row r="10" spans="1:9" s="2" customFormat="1" ht="31.5" x14ac:dyDescent="0.25">
      <c r="A10" s="52"/>
      <c r="B10" s="21" t="s">
        <v>13</v>
      </c>
      <c r="C10" s="21" t="s">
        <v>14</v>
      </c>
      <c r="D10" s="15">
        <v>40439.5</v>
      </c>
      <c r="E10" s="15">
        <v>40439.5</v>
      </c>
      <c r="F10" s="15">
        <v>17124.099999999999</v>
      </c>
      <c r="G10" s="15">
        <v>17124.099999999999</v>
      </c>
      <c r="H10" s="53" t="s">
        <v>15</v>
      </c>
      <c r="I10" s="54">
        <f t="shared" ref="I10:I32" si="0">ROUND(G10/E10,4)</f>
        <v>0.4234</v>
      </c>
    </row>
    <row r="11" spans="1:9" s="2" customFormat="1" ht="47.25" x14ac:dyDescent="0.25">
      <c r="A11" s="52"/>
      <c r="B11" s="21" t="s">
        <v>16</v>
      </c>
      <c r="C11" s="21" t="s">
        <v>14</v>
      </c>
      <c r="D11" s="15">
        <v>3023</v>
      </c>
      <c r="E11" s="15">
        <v>3023</v>
      </c>
      <c r="F11" s="15">
        <v>1388.9</v>
      </c>
      <c r="G11" s="15">
        <v>1388.9</v>
      </c>
      <c r="H11" s="53" t="s">
        <v>15</v>
      </c>
      <c r="I11" s="54">
        <f t="shared" si="0"/>
        <v>0.45939999999999998</v>
      </c>
    </row>
    <row r="12" spans="1:9" s="2" customFormat="1" ht="47.25" x14ac:dyDescent="0.25">
      <c r="A12" s="52"/>
      <c r="B12" s="21" t="s">
        <v>17</v>
      </c>
      <c r="C12" s="21" t="s">
        <v>14</v>
      </c>
      <c r="D12" s="15">
        <v>900</v>
      </c>
      <c r="E12" s="15">
        <v>900</v>
      </c>
      <c r="F12" s="15">
        <v>54</v>
      </c>
      <c r="G12" s="15">
        <v>54</v>
      </c>
      <c r="H12" s="53" t="s">
        <v>15</v>
      </c>
      <c r="I12" s="54">
        <f t="shared" si="0"/>
        <v>0.06</v>
      </c>
    </row>
    <row r="13" spans="1:9" s="2" customFormat="1" ht="63" x14ac:dyDescent="0.25">
      <c r="A13" s="52"/>
      <c r="B13" s="21" t="s">
        <v>18</v>
      </c>
      <c r="C13" s="21" t="s">
        <v>14</v>
      </c>
      <c r="D13" s="15">
        <v>1690.9</v>
      </c>
      <c r="E13" s="15">
        <v>1690.9</v>
      </c>
      <c r="F13" s="15">
        <v>41.5</v>
      </c>
      <c r="G13" s="15">
        <v>41.5</v>
      </c>
      <c r="H13" s="53" t="s">
        <v>15</v>
      </c>
      <c r="I13" s="54">
        <f t="shared" si="0"/>
        <v>2.4500000000000001E-2</v>
      </c>
    </row>
    <row r="14" spans="1:9" s="2" customFormat="1" ht="31.5" x14ac:dyDescent="0.25">
      <c r="A14" s="52"/>
      <c r="B14" s="21" t="s">
        <v>19</v>
      </c>
      <c r="C14" s="21" t="s">
        <v>14</v>
      </c>
      <c r="D14" s="15">
        <v>300</v>
      </c>
      <c r="E14" s="15">
        <v>300</v>
      </c>
      <c r="F14" s="15">
        <v>0</v>
      </c>
      <c r="G14" s="15">
        <v>0</v>
      </c>
      <c r="H14" s="53" t="s">
        <v>15</v>
      </c>
      <c r="I14" s="54">
        <f t="shared" si="0"/>
        <v>0</v>
      </c>
    </row>
    <row r="15" spans="1:9" s="2" customFormat="1" ht="47.25" x14ac:dyDescent="0.25">
      <c r="A15" s="55"/>
      <c r="B15" s="19" t="s">
        <v>20</v>
      </c>
      <c r="C15" s="21" t="s">
        <v>14</v>
      </c>
      <c r="D15" s="15">
        <v>120</v>
      </c>
      <c r="E15" s="15">
        <v>120</v>
      </c>
      <c r="F15" s="15">
        <v>36</v>
      </c>
      <c r="G15" s="15">
        <v>36</v>
      </c>
      <c r="H15" s="53" t="s">
        <v>15</v>
      </c>
      <c r="I15" s="54">
        <f t="shared" si="0"/>
        <v>0.3</v>
      </c>
    </row>
    <row r="16" spans="1:9" s="2" customFormat="1" ht="31.5" x14ac:dyDescent="0.25">
      <c r="A16" s="55"/>
      <c r="B16" s="19" t="s">
        <v>21</v>
      </c>
      <c r="C16" s="21" t="s">
        <v>14</v>
      </c>
      <c r="D16" s="15">
        <v>882</v>
      </c>
      <c r="E16" s="15">
        <v>882</v>
      </c>
      <c r="F16" s="15">
        <v>635.9</v>
      </c>
      <c r="G16" s="15">
        <v>635.9</v>
      </c>
      <c r="H16" s="53" t="s">
        <v>15</v>
      </c>
      <c r="I16" s="54">
        <f t="shared" si="0"/>
        <v>0.72099999999999997</v>
      </c>
    </row>
    <row r="17" spans="1:9" s="2" customFormat="1" ht="31.5" x14ac:dyDescent="0.25">
      <c r="A17" s="55"/>
      <c r="B17" s="19" t="s">
        <v>22</v>
      </c>
      <c r="C17" s="21" t="s">
        <v>14</v>
      </c>
      <c r="D17" s="15">
        <v>10228.1</v>
      </c>
      <c r="E17" s="15">
        <v>10228.1</v>
      </c>
      <c r="F17" s="15">
        <v>0</v>
      </c>
      <c r="G17" s="15">
        <v>0</v>
      </c>
      <c r="H17" s="53" t="s">
        <v>15</v>
      </c>
      <c r="I17" s="54">
        <f t="shared" si="0"/>
        <v>0</v>
      </c>
    </row>
    <row r="18" spans="1:9" s="2" customFormat="1" ht="47.25" x14ac:dyDescent="0.25">
      <c r="A18" s="55"/>
      <c r="B18" s="19" t="s">
        <v>23</v>
      </c>
      <c r="C18" s="21" t="s">
        <v>24</v>
      </c>
      <c r="D18" s="15">
        <v>31690.2</v>
      </c>
      <c r="E18" s="15">
        <v>31690.2</v>
      </c>
      <c r="F18" s="15">
        <v>0</v>
      </c>
      <c r="G18" s="15">
        <v>0</v>
      </c>
      <c r="H18" s="53" t="s">
        <v>15</v>
      </c>
      <c r="I18" s="54">
        <f t="shared" si="0"/>
        <v>0</v>
      </c>
    </row>
    <row r="19" spans="1:9" s="2" customFormat="1" ht="47.25" x14ac:dyDescent="0.25">
      <c r="A19" s="55"/>
      <c r="B19" s="19" t="s">
        <v>25</v>
      </c>
      <c r="C19" s="21" t="s">
        <v>26</v>
      </c>
      <c r="D19" s="15">
        <v>5238.8</v>
      </c>
      <c r="E19" s="15">
        <v>5238.8</v>
      </c>
      <c r="F19" s="15">
        <v>128.5</v>
      </c>
      <c r="G19" s="15">
        <v>128.5</v>
      </c>
      <c r="H19" s="53" t="s">
        <v>15</v>
      </c>
      <c r="I19" s="54">
        <f t="shared" si="0"/>
        <v>2.4500000000000001E-2</v>
      </c>
    </row>
    <row r="20" spans="1:9" s="2" customFormat="1" ht="31.5" x14ac:dyDescent="0.25">
      <c r="A20" s="56"/>
      <c r="B20" s="57" t="s">
        <v>27</v>
      </c>
      <c r="C20" s="21" t="s">
        <v>28</v>
      </c>
      <c r="D20" s="15">
        <v>48015</v>
      </c>
      <c r="E20" s="15">
        <v>48015</v>
      </c>
      <c r="F20" s="15">
        <v>22129.8</v>
      </c>
      <c r="G20" s="15">
        <v>22129.8</v>
      </c>
      <c r="H20" s="53" t="s">
        <v>15</v>
      </c>
      <c r="I20" s="54">
        <f t="shared" si="0"/>
        <v>0.46089999999999998</v>
      </c>
    </row>
    <row r="21" spans="1:9" s="2" customFormat="1" ht="47.25" x14ac:dyDescent="0.25">
      <c r="A21" s="58"/>
      <c r="B21" s="59"/>
      <c r="C21" s="21" t="s">
        <v>24</v>
      </c>
      <c r="D21" s="15">
        <v>2939.9</v>
      </c>
      <c r="E21" s="15">
        <v>2939.9</v>
      </c>
      <c r="F21" s="15">
        <v>799.2</v>
      </c>
      <c r="G21" s="15">
        <v>799.2</v>
      </c>
      <c r="H21" s="53" t="s">
        <v>15</v>
      </c>
      <c r="I21" s="54">
        <f>ROUND(G21/E21,4)</f>
        <v>0.27179999999999999</v>
      </c>
    </row>
    <row r="22" spans="1:9" s="2" customFormat="1" ht="31.5" x14ac:dyDescent="0.25">
      <c r="A22" s="60"/>
      <c r="B22" s="61"/>
      <c r="C22" s="21" t="s">
        <v>14</v>
      </c>
      <c r="D22" s="15">
        <v>948.9</v>
      </c>
      <c r="E22" s="15">
        <v>948.9</v>
      </c>
      <c r="F22" s="15">
        <v>258</v>
      </c>
      <c r="G22" s="15">
        <v>258</v>
      </c>
      <c r="H22" s="53" t="s">
        <v>15</v>
      </c>
      <c r="I22" s="54">
        <f t="shared" si="0"/>
        <v>0.27189999999999998</v>
      </c>
    </row>
    <row r="23" spans="1:9" s="2" customFormat="1" ht="63" customHeight="1" x14ac:dyDescent="0.25">
      <c r="A23" s="56"/>
      <c r="B23" s="57" t="s">
        <v>29</v>
      </c>
      <c r="C23" s="21" t="s">
        <v>28</v>
      </c>
      <c r="D23" s="15">
        <v>23943.8</v>
      </c>
      <c r="E23" s="15">
        <v>23943.8</v>
      </c>
      <c r="F23" s="15">
        <f>26626.3-7728</f>
        <v>18898.3</v>
      </c>
      <c r="G23" s="15">
        <f>26626.3-7728</f>
        <v>18898.3</v>
      </c>
      <c r="H23" s="53" t="s">
        <v>15</v>
      </c>
      <c r="I23" s="54">
        <f t="shared" si="0"/>
        <v>0.7893</v>
      </c>
    </row>
    <row r="24" spans="1:9" s="2" customFormat="1" ht="31.5" x14ac:dyDescent="0.25">
      <c r="A24" s="60"/>
      <c r="B24" s="61"/>
      <c r="C24" s="21" t="s">
        <v>14</v>
      </c>
      <c r="D24" s="15">
        <v>7728</v>
      </c>
      <c r="E24" s="15">
        <v>7728</v>
      </c>
      <c r="F24" s="15">
        <v>7728</v>
      </c>
      <c r="G24" s="15">
        <v>7728</v>
      </c>
      <c r="H24" s="53" t="s">
        <v>15</v>
      </c>
      <c r="I24" s="54">
        <f t="shared" si="0"/>
        <v>1</v>
      </c>
    </row>
    <row r="25" spans="1:9" s="2" customFormat="1" ht="78.75" customHeight="1" x14ac:dyDescent="0.25">
      <c r="A25" s="56"/>
      <c r="B25" s="57" t="s">
        <v>30</v>
      </c>
      <c r="C25" s="21" t="s">
        <v>28</v>
      </c>
      <c r="D25" s="15">
        <v>186372.6</v>
      </c>
      <c r="E25" s="15">
        <v>186372.6</v>
      </c>
      <c r="F25" s="15">
        <v>96801.7</v>
      </c>
      <c r="G25" s="15">
        <v>96801.7</v>
      </c>
      <c r="H25" s="53" t="s">
        <v>15</v>
      </c>
      <c r="I25" s="54">
        <f t="shared" si="0"/>
        <v>0.51939999999999997</v>
      </c>
    </row>
    <row r="26" spans="1:9" s="2" customFormat="1" ht="31.5" x14ac:dyDescent="0.25">
      <c r="A26" s="60"/>
      <c r="B26" s="61"/>
      <c r="C26" s="21" t="s">
        <v>14</v>
      </c>
      <c r="D26" s="15">
        <v>14192</v>
      </c>
      <c r="E26" s="15">
        <v>14192</v>
      </c>
      <c r="F26" s="15">
        <v>0</v>
      </c>
      <c r="G26" s="15">
        <v>0</v>
      </c>
      <c r="H26" s="53" t="s">
        <v>15</v>
      </c>
      <c r="I26" s="54">
        <f t="shared" si="0"/>
        <v>0</v>
      </c>
    </row>
    <row r="27" spans="1:9" s="2" customFormat="1" ht="110.25" x14ac:dyDescent="0.25">
      <c r="A27" s="62"/>
      <c r="B27" s="19" t="s">
        <v>31</v>
      </c>
      <c r="C27" s="21" t="s">
        <v>26</v>
      </c>
      <c r="D27" s="15">
        <v>2250</v>
      </c>
      <c r="E27" s="15">
        <v>2250</v>
      </c>
      <c r="F27" s="15">
        <v>0</v>
      </c>
      <c r="G27" s="15">
        <v>0</v>
      </c>
      <c r="H27" s="53" t="s">
        <v>15</v>
      </c>
      <c r="I27" s="54">
        <f t="shared" si="0"/>
        <v>0</v>
      </c>
    </row>
    <row r="28" spans="1:9" s="2" customFormat="1" ht="94.5" x14ac:dyDescent="0.25">
      <c r="A28" s="55"/>
      <c r="B28" s="19" t="s">
        <v>295</v>
      </c>
      <c r="C28" s="21" t="s">
        <v>14</v>
      </c>
      <c r="D28" s="15">
        <v>3323.5</v>
      </c>
      <c r="E28" s="15">
        <v>3323.5</v>
      </c>
      <c r="F28" s="15">
        <v>0</v>
      </c>
      <c r="G28" s="15">
        <v>0</v>
      </c>
      <c r="H28" s="53" t="s">
        <v>15</v>
      </c>
      <c r="I28" s="54">
        <f t="shared" si="0"/>
        <v>0</v>
      </c>
    </row>
    <row r="29" spans="1:9" s="2" customFormat="1" x14ac:dyDescent="0.25">
      <c r="A29" s="63"/>
      <c r="B29" s="43" t="s">
        <v>32</v>
      </c>
      <c r="C29" s="24" t="s">
        <v>33</v>
      </c>
      <c r="D29" s="25">
        <f>D30+D31+D32</f>
        <v>384226.30000000005</v>
      </c>
      <c r="E29" s="25">
        <f>E30+E31+E32</f>
        <v>384226.30000000005</v>
      </c>
      <c r="F29" s="25">
        <f>F30+F31+F32+0.1</f>
        <v>166024.1</v>
      </c>
      <c r="G29" s="25">
        <f>G30+G31+G32+0.1</f>
        <v>166024.1</v>
      </c>
      <c r="H29" s="53" t="s">
        <v>15</v>
      </c>
      <c r="I29" s="54">
        <f t="shared" si="0"/>
        <v>0.43209999999999998</v>
      </c>
    </row>
    <row r="30" spans="1:9" s="2" customFormat="1" ht="31.5" x14ac:dyDescent="0.25">
      <c r="A30" s="64"/>
      <c r="B30" s="59"/>
      <c r="C30" s="21" t="s">
        <v>28</v>
      </c>
      <c r="D30" s="15">
        <f>D20+D23+D25</f>
        <v>258331.40000000002</v>
      </c>
      <c r="E30" s="15">
        <f>E20+E23+E25</f>
        <v>258331.40000000002</v>
      </c>
      <c r="F30" s="15">
        <f t="shared" ref="F30" si="1">F20+F23+F25</f>
        <v>137829.79999999999</v>
      </c>
      <c r="G30" s="15">
        <f t="shared" ref="G30" si="2">G20+G23+G25</f>
        <v>137829.79999999999</v>
      </c>
      <c r="H30" s="53" t="s">
        <v>15</v>
      </c>
      <c r="I30" s="54">
        <f t="shared" si="0"/>
        <v>0.53349999999999997</v>
      </c>
    </row>
    <row r="31" spans="1:9" s="2" customFormat="1" ht="47.25" x14ac:dyDescent="0.25">
      <c r="A31" s="64"/>
      <c r="B31" s="59"/>
      <c r="C31" s="21" t="s">
        <v>26</v>
      </c>
      <c r="D31" s="15">
        <f>D18+D19+D27+D21</f>
        <v>42118.9</v>
      </c>
      <c r="E31" s="15">
        <f>E18+E19+E27+E21</f>
        <v>42118.9</v>
      </c>
      <c r="F31" s="15">
        <f t="shared" ref="F31" si="3">F18+F19+F28+F21</f>
        <v>927.7</v>
      </c>
      <c r="G31" s="15">
        <f t="shared" ref="G31" si="4">G18+G19+G28+G21</f>
        <v>927.7</v>
      </c>
      <c r="H31" s="53" t="s">
        <v>15</v>
      </c>
      <c r="I31" s="54">
        <f t="shared" si="0"/>
        <v>2.1999999999999999E-2</v>
      </c>
    </row>
    <row r="32" spans="1:9" s="2" customFormat="1" ht="31.5" x14ac:dyDescent="0.25">
      <c r="A32" s="64"/>
      <c r="B32" s="59"/>
      <c r="C32" s="21" t="s">
        <v>14</v>
      </c>
      <c r="D32" s="15">
        <f>D10+D11+D12+D13+D14+D15+D16+D17+D22+D24+D26+D28+0.1</f>
        <v>83776</v>
      </c>
      <c r="E32" s="15">
        <f>E10+E11+E12+E13+E14+E15+E16+E17+E22+E24+E26+E28+0.1</f>
        <v>83776</v>
      </c>
      <c r="F32" s="15">
        <f>F10+F11+F12+F13+F14+F15+F16+F17+F22+F24+F26+F28+0.1</f>
        <v>27266.5</v>
      </c>
      <c r="G32" s="15">
        <f>G10+G11+G12+G13+G14+G15+G16+G17+G22+G24+G26+G28+0.1</f>
        <v>27266.5</v>
      </c>
      <c r="H32" s="53" t="s">
        <v>15</v>
      </c>
      <c r="I32" s="54">
        <f t="shared" si="0"/>
        <v>0.32550000000000001</v>
      </c>
    </row>
    <row r="33" spans="1:17" x14ac:dyDescent="0.25">
      <c r="A33" s="65"/>
      <c r="B33" s="30" t="s">
        <v>34</v>
      </c>
      <c r="C33" s="31"/>
      <c r="D33" s="31"/>
      <c r="E33" s="31"/>
      <c r="F33" s="31"/>
      <c r="G33" s="31"/>
      <c r="H33" s="31"/>
      <c r="I33" s="32"/>
    </row>
    <row r="34" spans="1:17" s="2" customFormat="1" ht="78.75" x14ac:dyDescent="0.25">
      <c r="A34" s="52"/>
      <c r="B34" s="21" t="s">
        <v>35</v>
      </c>
      <c r="C34" s="21" t="s">
        <v>14</v>
      </c>
      <c r="D34" s="15">
        <v>1329.2</v>
      </c>
      <c r="E34" s="15">
        <v>1329.2</v>
      </c>
      <c r="F34" s="15">
        <v>146.80000000000001</v>
      </c>
      <c r="G34" s="15">
        <v>146.69999999999999</v>
      </c>
      <c r="H34" s="53" t="s">
        <v>15</v>
      </c>
      <c r="I34" s="54">
        <f t="shared" ref="I34:I39" si="5">ROUND(G34/E34,4)</f>
        <v>0.1104</v>
      </c>
    </row>
    <row r="35" spans="1:17" s="2" customFormat="1" ht="47.25" x14ac:dyDescent="0.25">
      <c r="A35" s="52"/>
      <c r="B35" s="21" t="s">
        <v>36</v>
      </c>
      <c r="C35" s="21" t="s">
        <v>26</v>
      </c>
      <c r="D35" s="15">
        <v>3321.1</v>
      </c>
      <c r="E35" s="15">
        <v>3321.1</v>
      </c>
      <c r="F35" s="15">
        <v>2855.6</v>
      </c>
      <c r="G35" s="15">
        <v>2855.6</v>
      </c>
      <c r="H35" s="66" t="s">
        <v>15</v>
      </c>
      <c r="I35" s="67">
        <f t="shared" si="5"/>
        <v>0.85980000000000001</v>
      </c>
    </row>
    <row r="36" spans="1:17" s="2" customFormat="1" ht="63" x14ac:dyDescent="0.25">
      <c r="A36" s="52"/>
      <c r="B36" s="21" t="s">
        <v>37</v>
      </c>
      <c r="C36" s="21" t="s">
        <v>14</v>
      </c>
      <c r="D36" s="15">
        <v>1072</v>
      </c>
      <c r="E36" s="15">
        <v>1072</v>
      </c>
      <c r="F36" s="15">
        <v>826.1</v>
      </c>
      <c r="G36" s="15">
        <v>826.1</v>
      </c>
      <c r="H36" s="68" t="s">
        <v>15</v>
      </c>
      <c r="I36" s="69">
        <f t="shared" si="5"/>
        <v>0.77059999999999995</v>
      </c>
    </row>
    <row r="37" spans="1:17" s="2" customFormat="1" x14ac:dyDescent="0.25">
      <c r="A37" s="70"/>
      <c r="B37" s="42" t="s">
        <v>32</v>
      </c>
      <c r="C37" s="24" t="s">
        <v>33</v>
      </c>
      <c r="D37" s="25">
        <f>D38+D39</f>
        <v>5722.2999999999993</v>
      </c>
      <c r="E37" s="25">
        <f>E38+E39</f>
        <v>5722.2999999999993</v>
      </c>
      <c r="F37" s="25">
        <f>F38+F39</f>
        <v>3828.5</v>
      </c>
      <c r="G37" s="25">
        <f>G38+G39</f>
        <v>3828.3999999999996</v>
      </c>
      <c r="H37" s="71" t="s">
        <v>15</v>
      </c>
      <c r="I37" s="72">
        <f t="shared" si="5"/>
        <v>0.66900000000000004</v>
      </c>
    </row>
    <row r="38" spans="1:17" s="2" customFormat="1" ht="31.5" x14ac:dyDescent="0.25">
      <c r="A38" s="70"/>
      <c r="B38" s="73"/>
      <c r="C38" s="21" t="s">
        <v>14</v>
      </c>
      <c r="D38" s="15">
        <f>D34+D36</f>
        <v>2401.1999999999998</v>
      </c>
      <c r="E38" s="15">
        <f>E34+E36</f>
        <v>2401.1999999999998</v>
      </c>
      <c r="F38" s="15">
        <f>F34+F36</f>
        <v>972.90000000000009</v>
      </c>
      <c r="G38" s="15">
        <f>G34+G36</f>
        <v>972.8</v>
      </c>
      <c r="H38" s="68" t="s">
        <v>15</v>
      </c>
      <c r="I38" s="69">
        <f t="shared" si="5"/>
        <v>0.40510000000000002</v>
      </c>
    </row>
    <row r="39" spans="1:17" s="2" customFormat="1" ht="47.25" x14ac:dyDescent="0.25">
      <c r="A39" s="70"/>
      <c r="B39" s="73"/>
      <c r="C39" s="21" t="s">
        <v>26</v>
      </c>
      <c r="D39" s="15">
        <f>D35</f>
        <v>3321.1</v>
      </c>
      <c r="E39" s="15">
        <f>E35</f>
        <v>3321.1</v>
      </c>
      <c r="F39" s="15">
        <f>F35</f>
        <v>2855.6</v>
      </c>
      <c r="G39" s="15">
        <f>G35</f>
        <v>2855.6</v>
      </c>
      <c r="H39" s="53" t="s">
        <v>15</v>
      </c>
      <c r="I39" s="54">
        <f t="shared" si="5"/>
        <v>0.85980000000000001</v>
      </c>
    </row>
    <row r="40" spans="1:17" s="3" customFormat="1" x14ac:dyDescent="0.25">
      <c r="A40" s="74"/>
      <c r="B40" s="30" t="s">
        <v>38</v>
      </c>
      <c r="C40" s="31"/>
      <c r="D40" s="31"/>
      <c r="E40" s="31"/>
      <c r="F40" s="31"/>
      <c r="G40" s="31"/>
      <c r="H40" s="31"/>
      <c r="I40" s="32"/>
      <c r="J40" s="33"/>
      <c r="K40" s="34"/>
      <c r="L40" s="34"/>
      <c r="M40" s="34"/>
      <c r="N40" s="34"/>
      <c r="O40" s="34"/>
      <c r="P40" s="34"/>
      <c r="Q40" s="34"/>
    </row>
    <row r="41" spans="1:17" s="4" customFormat="1" ht="78.75" x14ac:dyDescent="0.25">
      <c r="A41" s="52"/>
      <c r="B41" s="21" t="s">
        <v>39</v>
      </c>
      <c r="C41" s="21" t="s">
        <v>14</v>
      </c>
      <c r="D41" s="15">
        <v>313428.3</v>
      </c>
      <c r="E41" s="15">
        <v>313428.3</v>
      </c>
      <c r="F41" s="15">
        <v>197879.3</v>
      </c>
      <c r="G41" s="15">
        <v>197303.4</v>
      </c>
      <c r="H41" s="68" t="s">
        <v>15</v>
      </c>
      <c r="I41" s="69">
        <f>ROUND(G41/E41,4)</f>
        <v>0.62949999999999995</v>
      </c>
    </row>
    <row r="42" spans="1:17" s="4" customFormat="1" ht="78.75" x14ac:dyDescent="0.25">
      <c r="A42" s="52"/>
      <c r="B42" s="21" t="s">
        <v>40</v>
      </c>
      <c r="C42" s="21" t="s">
        <v>14</v>
      </c>
      <c r="D42" s="15">
        <v>4000</v>
      </c>
      <c r="E42" s="15">
        <v>4000</v>
      </c>
      <c r="F42" s="15">
        <v>1332.9</v>
      </c>
      <c r="G42" s="15">
        <v>1332.9</v>
      </c>
      <c r="H42" s="68" t="s">
        <v>15</v>
      </c>
      <c r="I42" s="69">
        <f>ROUND(G42/E42,4)</f>
        <v>0.3332</v>
      </c>
    </row>
    <row r="43" spans="1:17" s="4" customFormat="1" ht="78.75" x14ac:dyDescent="0.25">
      <c r="A43" s="52"/>
      <c r="B43" s="21" t="s">
        <v>41</v>
      </c>
      <c r="C43" s="21" t="s">
        <v>26</v>
      </c>
      <c r="D43" s="15">
        <v>28709.5</v>
      </c>
      <c r="E43" s="15">
        <v>28709.5</v>
      </c>
      <c r="F43" s="15">
        <v>17225.7</v>
      </c>
      <c r="G43" s="15">
        <v>17225.7</v>
      </c>
      <c r="H43" s="68" t="s">
        <v>15</v>
      </c>
      <c r="I43" s="69">
        <f>ROUND(G43/E43,4)</f>
        <v>0.6</v>
      </c>
    </row>
    <row r="44" spans="1:17" s="4" customFormat="1" ht="94.5" x14ac:dyDescent="0.25">
      <c r="A44" s="52"/>
      <c r="B44" s="21" t="s">
        <v>42</v>
      </c>
      <c r="C44" s="21" t="s">
        <v>26</v>
      </c>
      <c r="D44" s="15">
        <v>518367.7</v>
      </c>
      <c r="E44" s="15">
        <v>518367.7</v>
      </c>
      <c r="F44" s="15">
        <v>282060</v>
      </c>
      <c r="G44" s="15">
        <v>274780.79999999999</v>
      </c>
      <c r="H44" s="53" t="s">
        <v>15</v>
      </c>
      <c r="I44" s="69">
        <f>ROUND(G44/E44,4)</f>
        <v>0.53010000000000002</v>
      </c>
    </row>
    <row r="45" spans="1:17" s="4" customFormat="1" ht="78.75" x14ac:dyDescent="0.25">
      <c r="A45" s="52"/>
      <c r="B45" s="21" t="s">
        <v>43</v>
      </c>
      <c r="C45" s="21" t="s">
        <v>14</v>
      </c>
      <c r="D45" s="15">
        <v>9266</v>
      </c>
      <c r="E45" s="15">
        <v>9266</v>
      </c>
      <c r="F45" s="15">
        <v>5559.6</v>
      </c>
      <c r="G45" s="15">
        <v>5559.6</v>
      </c>
      <c r="H45" s="75" t="s">
        <v>15</v>
      </c>
      <c r="I45" s="54">
        <f>ROUND(G45/E45,4)</f>
        <v>0.6</v>
      </c>
    </row>
    <row r="46" spans="1:17" s="4" customFormat="1" ht="126" hidden="1" x14ac:dyDescent="0.25">
      <c r="A46" s="52"/>
      <c r="B46" s="21" t="s">
        <v>44</v>
      </c>
      <c r="C46" s="21" t="s">
        <v>14</v>
      </c>
      <c r="D46" s="15">
        <v>0</v>
      </c>
      <c r="E46" s="15">
        <v>0</v>
      </c>
      <c r="F46" s="15">
        <v>0</v>
      </c>
      <c r="G46" s="15">
        <v>0</v>
      </c>
      <c r="H46" s="75" t="s">
        <v>15</v>
      </c>
      <c r="I46" s="76">
        <v>0</v>
      </c>
    </row>
    <row r="47" spans="1:17" s="4" customFormat="1" ht="94.5" x14ac:dyDescent="0.25">
      <c r="A47" s="52"/>
      <c r="B47" s="21" t="s">
        <v>45</v>
      </c>
      <c r="C47" s="21" t="s">
        <v>14</v>
      </c>
      <c r="D47" s="15">
        <v>50</v>
      </c>
      <c r="E47" s="15">
        <v>50</v>
      </c>
      <c r="F47" s="15">
        <v>0</v>
      </c>
      <c r="G47" s="15">
        <v>0</v>
      </c>
      <c r="H47" s="75" t="s">
        <v>15</v>
      </c>
      <c r="I47" s="76">
        <f>ROUND(G47/E47,4)</f>
        <v>0</v>
      </c>
    </row>
    <row r="48" spans="1:17" s="2" customFormat="1" x14ac:dyDescent="0.25">
      <c r="A48" s="70"/>
      <c r="B48" s="42" t="s">
        <v>32</v>
      </c>
      <c r="C48" s="24" t="s">
        <v>33</v>
      </c>
      <c r="D48" s="25">
        <f>D49+D50</f>
        <v>873821.5</v>
      </c>
      <c r="E48" s="25">
        <f>E49+E50</f>
        <v>873821.5</v>
      </c>
      <c r="F48" s="25">
        <f>F49+F50</f>
        <v>504057.5</v>
      </c>
      <c r="G48" s="25">
        <f>G49+G50</f>
        <v>496202.5</v>
      </c>
      <c r="H48" s="77" t="s">
        <v>15</v>
      </c>
      <c r="I48" s="78">
        <f>ROUND(G48/E48,4)</f>
        <v>0.56789999999999996</v>
      </c>
    </row>
    <row r="49" spans="1:17" s="2" customFormat="1" ht="31.5" x14ac:dyDescent="0.25">
      <c r="A49" s="70"/>
      <c r="B49" s="73"/>
      <c r="C49" s="21" t="s">
        <v>14</v>
      </c>
      <c r="D49" s="15">
        <f>D41+D42+D45+D46+D47</f>
        <v>326744.3</v>
      </c>
      <c r="E49" s="15">
        <f>E41+E42+E45+E46+E47</f>
        <v>326744.3</v>
      </c>
      <c r="F49" s="15">
        <f>F41+F42+F45+F46+F47</f>
        <v>204771.8</v>
      </c>
      <c r="G49" s="15">
        <f>G41+G42+G45+G46+G47+0.1</f>
        <v>204196</v>
      </c>
      <c r="H49" s="75" t="s">
        <v>15</v>
      </c>
      <c r="I49" s="76">
        <f>ROUND(G49/E49,4)</f>
        <v>0.62490000000000001</v>
      </c>
    </row>
    <row r="50" spans="1:17" s="2" customFormat="1" ht="47.25" x14ac:dyDescent="0.25">
      <c r="A50" s="70"/>
      <c r="B50" s="73"/>
      <c r="C50" s="21" t="s">
        <v>26</v>
      </c>
      <c r="D50" s="15">
        <f>D43+D44</f>
        <v>547077.19999999995</v>
      </c>
      <c r="E50" s="15">
        <f>E43+E44</f>
        <v>547077.19999999995</v>
      </c>
      <c r="F50" s="15">
        <f>F43+F44</f>
        <v>299285.7</v>
      </c>
      <c r="G50" s="15">
        <f>G43+G44</f>
        <v>292006.5</v>
      </c>
      <c r="H50" s="75" t="s">
        <v>15</v>
      </c>
      <c r="I50" s="76">
        <f>ROUND(G50/E50,4)</f>
        <v>0.53380000000000005</v>
      </c>
    </row>
    <row r="51" spans="1:17" s="3" customFormat="1" x14ac:dyDescent="0.25">
      <c r="A51" s="74"/>
      <c r="B51" s="30" t="s">
        <v>46</v>
      </c>
      <c r="C51" s="31"/>
      <c r="D51" s="31"/>
      <c r="E51" s="31"/>
      <c r="F51" s="31"/>
      <c r="G51" s="31"/>
      <c r="H51" s="31"/>
      <c r="I51" s="32"/>
      <c r="J51" s="33"/>
      <c r="K51" s="34"/>
      <c r="L51" s="34"/>
      <c r="M51" s="34"/>
      <c r="N51" s="34"/>
      <c r="O51" s="34"/>
      <c r="P51" s="34"/>
      <c r="Q51" s="34"/>
    </row>
    <row r="52" spans="1:17" s="4" customFormat="1" ht="78.75" x14ac:dyDescent="0.25">
      <c r="A52" s="52"/>
      <c r="B52" s="21" t="s">
        <v>47</v>
      </c>
      <c r="C52" s="21" t="s">
        <v>14</v>
      </c>
      <c r="D52" s="15">
        <v>152730.29999999999</v>
      </c>
      <c r="E52" s="15">
        <v>152730.29999999999</v>
      </c>
      <c r="F52" s="15">
        <v>114702.39999999999</v>
      </c>
      <c r="G52" s="15">
        <v>114325.8</v>
      </c>
      <c r="H52" s="53" t="s">
        <v>15</v>
      </c>
      <c r="I52" s="54">
        <f t="shared" ref="I52:I66" si="6">ROUND(G52/E52,4)</f>
        <v>0.74850000000000005</v>
      </c>
    </row>
    <row r="53" spans="1:17" s="4" customFormat="1" ht="94.5" x14ac:dyDescent="0.25">
      <c r="A53" s="52"/>
      <c r="B53" s="21" t="s">
        <v>48</v>
      </c>
      <c r="C53" s="21" t="s">
        <v>14</v>
      </c>
      <c r="D53" s="15">
        <v>4000</v>
      </c>
      <c r="E53" s="15">
        <v>4000</v>
      </c>
      <c r="F53" s="15">
        <v>782.2</v>
      </c>
      <c r="G53" s="15">
        <v>782.2</v>
      </c>
      <c r="H53" s="53" t="s">
        <v>15</v>
      </c>
      <c r="I53" s="54">
        <f t="shared" si="6"/>
        <v>0.1956</v>
      </c>
    </row>
    <row r="54" spans="1:17" s="4" customFormat="1" ht="94.5" x14ac:dyDescent="0.25">
      <c r="A54" s="52"/>
      <c r="B54" s="21" t="s">
        <v>49</v>
      </c>
      <c r="C54" s="21" t="s">
        <v>26</v>
      </c>
      <c r="D54" s="17">
        <v>1260.5</v>
      </c>
      <c r="E54" s="17">
        <v>1260.5</v>
      </c>
      <c r="F54" s="17">
        <v>555</v>
      </c>
      <c r="G54" s="17">
        <v>555</v>
      </c>
      <c r="H54" s="53" t="s">
        <v>15</v>
      </c>
      <c r="I54" s="54">
        <f t="shared" si="6"/>
        <v>0.44030000000000002</v>
      </c>
    </row>
    <row r="55" spans="1:17" s="4" customFormat="1" ht="78.75" x14ac:dyDescent="0.25">
      <c r="A55" s="52"/>
      <c r="B55" s="21" t="s">
        <v>50</v>
      </c>
      <c r="C55" s="21" t="s">
        <v>26</v>
      </c>
      <c r="D55" s="15">
        <v>819709.4</v>
      </c>
      <c r="E55" s="15">
        <v>819709.4</v>
      </c>
      <c r="F55" s="15">
        <v>419540</v>
      </c>
      <c r="G55" s="15">
        <v>412643.8</v>
      </c>
      <c r="H55" s="53" t="s">
        <v>15</v>
      </c>
      <c r="I55" s="54">
        <f t="shared" si="6"/>
        <v>0.50339999999999996</v>
      </c>
    </row>
    <row r="56" spans="1:17" s="4" customFormat="1" ht="47.25" x14ac:dyDescent="0.25">
      <c r="A56" s="52"/>
      <c r="B56" s="21" t="s">
        <v>51</v>
      </c>
      <c r="C56" s="21" t="s">
        <v>26</v>
      </c>
      <c r="D56" s="15">
        <v>23278.2</v>
      </c>
      <c r="E56" s="15">
        <v>23278.2</v>
      </c>
      <c r="F56" s="15">
        <v>9300</v>
      </c>
      <c r="G56" s="15">
        <v>9300</v>
      </c>
      <c r="H56" s="53" t="s">
        <v>15</v>
      </c>
      <c r="I56" s="54">
        <f t="shared" si="6"/>
        <v>0.39950000000000002</v>
      </c>
    </row>
    <row r="57" spans="1:17" s="4" customFormat="1" ht="78.75" x14ac:dyDescent="0.25">
      <c r="A57" s="52"/>
      <c r="B57" s="21" t="s">
        <v>52</v>
      </c>
      <c r="C57" s="21" t="s">
        <v>14</v>
      </c>
      <c r="D57" s="15">
        <v>199.5</v>
      </c>
      <c r="E57" s="15">
        <v>199.5</v>
      </c>
      <c r="F57" s="15">
        <v>64.7</v>
      </c>
      <c r="G57" s="15">
        <v>64.7</v>
      </c>
      <c r="H57" s="53" t="s">
        <v>15</v>
      </c>
      <c r="I57" s="54">
        <f t="shared" si="6"/>
        <v>0.32429999999999998</v>
      </c>
    </row>
    <row r="58" spans="1:17" s="4" customFormat="1" ht="110.25" x14ac:dyDescent="0.25">
      <c r="A58" s="52"/>
      <c r="B58" s="21" t="s">
        <v>53</v>
      </c>
      <c r="C58" s="21" t="s">
        <v>14</v>
      </c>
      <c r="D58" s="17">
        <v>3392.7</v>
      </c>
      <c r="E58" s="17">
        <v>3392.7</v>
      </c>
      <c r="F58" s="17">
        <v>1501.1</v>
      </c>
      <c r="G58" s="17">
        <v>1501.1</v>
      </c>
      <c r="H58" s="53" t="s">
        <v>15</v>
      </c>
      <c r="I58" s="54">
        <f t="shared" si="6"/>
        <v>0.44240000000000002</v>
      </c>
    </row>
    <row r="59" spans="1:17" s="4" customFormat="1" ht="31.5" x14ac:dyDescent="0.25">
      <c r="A59" s="52"/>
      <c r="B59" s="21" t="s">
        <v>54</v>
      </c>
      <c r="C59" s="21" t="s">
        <v>28</v>
      </c>
      <c r="D59" s="15">
        <v>37294.5</v>
      </c>
      <c r="E59" s="15">
        <v>37294.5</v>
      </c>
      <c r="F59" s="15">
        <v>34234.6</v>
      </c>
      <c r="G59" s="15">
        <v>34234.6</v>
      </c>
      <c r="H59" s="53" t="s">
        <v>15</v>
      </c>
      <c r="I59" s="54">
        <f t="shared" si="6"/>
        <v>0.91800000000000004</v>
      </c>
      <c r="J59" s="5"/>
    </row>
    <row r="60" spans="1:17" s="4" customFormat="1" ht="94.5" x14ac:dyDescent="0.25">
      <c r="A60" s="52"/>
      <c r="B60" s="21" t="s">
        <v>55</v>
      </c>
      <c r="C60" s="21" t="s">
        <v>26</v>
      </c>
      <c r="D60" s="15">
        <v>9771.4</v>
      </c>
      <c r="E60" s="15">
        <v>9771.4</v>
      </c>
      <c r="F60" s="15">
        <v>3170</v>
      </c>
      <c r="G60" s="15">
        <v>3170</v>
      </c>
      <c r="H60" s="53" t="s">
        <v>15</v>
      </c>
      <c r="I60" s="54">
        <f t="shared" si="6"/>
        <v>0.32440000000000002</v>
      </c>
    </row>
    <row r="61" spans="1:17" s="4" customFormat="1" ht="110.25" x14ac:dyDescent="0.25">
      <c r="A61" s="52"/>
      <c r="B61" s="16" t="s">
        <v>56</v>
      </c>
      <c r="C61" s="21" t="s">
        <v>26</v>
      </c>
      <c r="D61" s="17">
        <v>1695.2</v>
      </c>
      <c r="E61" s="17">
        <v>1695.2</v>
      </c>
      <c r="F61" s="17">
        <v>1556.2</v>
      </c>
      <c r="G61" s="17">
        <v>1556.2</v>
      </c>
      <c r="H61" s="53" t="s">
        <v>15</v>
      </c>
      <c r="I61" s="54">
        <f t="shared" si="6"/>
        <v>0.91800000000000004</v>
      </c>
    </row>
    <row r="62" spans="1:17" s="4" customFormat="1" ht="31.5" x14ac:dyDescent="0.25">
      <c r="A62" s="56"/>
      <c r="B62" s="57" t="s">
        <v>57</v>
      </c>
      <c r="C62" s="21" t="s">
        <v>28</v>
      </c>
      <c r="D62" s="15">
        <v>25230.2</v>
      </c>
      <c r="E62" s="15">
        <v>25230.2</v>
      </c>
      <c r="F62" s="15">
        <v>12750</v>
      </c>
      <c r="G62" s="15">
        <v>12750</v>
      </c>
      <c r="H62" s="53" t="s">
        <v>15</v>
      </c>
      <c r="I62" s="54">
        <f t="shared" si="6"/>
        <v>0.50529999999999997</v>
      </c>
      <c r="K62" s="5"/>
    </row>
    <row r="63" spans="1:17" s="4" customFormat="1" ht="31.5" x14ac:dyDescent="0.25">
      <c r="A63" s="60"/>
      <c r="B63" s="61"/>
      <c r="C63" s="21" t="s">
        <v>14</v>
      </c>
      <c r="D63" s="15">
        <v>515</v>
      </c>
      <c r="E63" s="15">
        <v>515</v>
      </c>
      <c r="F63" s="15">
        <v>260.25358999999997</v>
      </c>
      <c r="G63" s="15">
        <v>260.25358999999997</v>
      </c>
      <c r="H63" s="53" t="s">
        <v>15</v>
      </c>
      <c r="I63" s="54">
        <f t="shared" si="6"/>
        <v>0.50529999999999997</v>
      </c>
      <c r="K63" s="5"/>
    </row>
    <row r="64" spans="1:17" s="4" customFormat="1" ht="110.25" x14ac:dyDescent="0.25">
      <c r="A64" s="52"/>
      <c r="B64" s="21" t="s">
        <v>58</v>
      </c>
      <c r="C64" s="21" t="s">
        <v>26</v>
      </c>
      <c r="D64" s="15">
        <v>3275.9</v>
      </c>
      <c r="E64" s="15">
        <v>3275.9</v>
      </c>
      <c r="F64" s="15">
        <v>0</v>
      </c>
      <c r="G64" s="15">
        <v>0</v>
      </c>
      <c r="H64" s="53" t="s">
        <v>15</v>
      </c>
      <c r="I64" s="54">
        <f t="shared" si="6"/>
        <v>0</v>
      </c>
      <c r="K64" s="5"/>
    </row>
    <row r="65" spans="1:9" s="4" customFormat="1" ht="94.5" x14ac:dyDescent="0.25">
      <c r="A65" s="52"/>
      <c r="B65" s="21" t="s">
        <v>59</v>
      </c>
      <c r="C65" s="21" t="s">
        <v>14</v>
      </c>
      <c r="D65" s="15">
        <v>66.900000000000006</v>
      </c>
      <c r="E65" s="15">
        <v>66.900000000000006</v>
      </c>
      <c r="F65" s="15">
        <v>0</v>
      </c>
      <c r="G65" s="15">
        <v>0</v>
      </c>
      <c r="H65" s="53" t="s">
        <v>15</v>
      </c>
      <c r="I65" s="54">
        <f t="shared" si="6"/>
        <v>0</v>
      </c>
    </row>
    <row r="66" spans="1:9" s="4" customFormat="1" ht="78.75" x14ac:dyDescent="0.25">
      <c r="A66" s="52"/>
      <c r="B66" s="21" t="s">
        <v>60</v>
      </c>
      <c r="C66" s="21" t="s">
        <v>26</v>
      </c>
      <c r="D66" s="15">
        <v>1472.2</v>
      </c>
      <c r="E66" s="15">
        <v>1472.2</v>
      </c>
      <c r="F66" s="15">
        <v>558</v>
      </c>
      <c r="G66" s="15">
        <v>381.5</v>
      </c>
      <c r="H66" s="53" t="s">
        <v>15</v>
      </c>
      <c r="I66" s="54">
        <f t="shared" si="6"/>
        <v>0.2591</v>
      </c>
    </row>
    <row r="67" spans="1:9" s="4" customFormat="1" ht="94.5" hidden="1" x14ac:dyDescent="0.25">
      <c r="A67" s="52"/>
      <c r="B67" s="21" t="s">
        <v>61</v>
      </c>
      <c r="C67" s="21" t="s">
        <v>62</v>
      </c>
      <c r="D67" s="15">
        <v>0</v>
      </c>
      <c r="E67" s="15">
        <v>0</v>
      </c>
      <c r="F67" s="15">
        <v>0</v>
      </c>
      <c r="G67" s="15">
        <v>0</v>
      </c>
      <c r="H67" s="53" t="s">
        <v>15</v>
      </c>
      <c r="I67" s="54">
        <v>0</v>
      </c>
    </row>
    <row r="68" spans="1:9" s="4" customFormat="1" ht="94.5" x14ac:dyDescent="0.25">
      <c r="A68" s="52"/>
      <c r="B68" s="21" t="s">
        <v>63</v>
      </c>
      <c r="C68" s="21" t="s">
        <v>62</v>
      </c>
      <c r="D68" s="15">
        <v>7372.7</v>
      </c>
      <c r="E68" s="15">
        <v>7372.7</v>
      </c>
      <c r="F68" s="15">
        <v>4435</v>
      </c>
      <c r="G68" s="15">
        <v>4435</v>
      </c>
      <c r="H68" s="53" t="s">
        <v>15</v>
      </c>
      <c r="I68" s="54">
        <f t="shared" ref="I68:I74" si="7">ROUND(G68/E68,4)</f>
        <v>0.60150000000000003</v>
      </c>
    </row>
    <row r="69" spans="1:9" s="4" customFormat="1" ht="94.5" x14ac:dyDescent="0.25">
      <c r="A69" s="52"/>
      <c r="B69" s="21" t="s">
        <v>45</v>
      </c>
      <c r="C69" s="21" t="s">
        <v>14</v>
      </c>
      <c r="D69" s="15">
        <v>100</v>
      </c>
      <c r="E69" s="15">
        <v>100</v>
      </c>
      <c r="F69" s="15">
        <v>0</v>
      </c>
      <c r="G69" s="15">
        <v>0</v>
      </c>
      <c r="H69" s="53" t="s">
        <v>15</v>
      </c>
      <c r="I69" s="54">
        <f t="shared" si="7"/>
        <v>0</v>
      </c>
    </row>
    <row r="70" spans="1:9" s="4" customFormat="1" ht="94.5" x14ac:dyDescent="0.25">
      <c r="A70" s="52"/>
      <c r="B70" s="21" t="s">
        <v>64</v>
      </c>
      <c r="C70" s="21" t="s">
        <v>26</v>
      </c>
      <c r="D70" s="15">
        <v>1218</v>
      </c>
      <c r="E70" s="15">
        <v>1218</v>
      </c>
      <c r="F70" s="15">
        <v>425</v>
      </c>
      <c r="G70" s="15">
        <v>425</v>
      </c>
      <c r="H70" s="53" t="s">
        <v>15</v>
      </c>
      <c r="I70" s="54">
        <f t="shared" si="7"/>
        <v>0.34889999999999999</v>
      </c>
    </row>
    <row r="71" spans="1:9" s="2" customFormat="1" x14ac:dyDescent="0.25">
      <c r="A71" s="70"/>
      <c r="B71" s="42" t="s">
        <v>32</v>
      </c>
      <c r="C71" s="24" t="s">
        <v>33</v>
      </c>
      <c r="D71" s="25">
        <f>D72+D74+D73</f>
        <v>1092582.6000000001</v>
      </c>
      <c r="E71" s="25">
        <f>E72+E74+E73</f>
        <v>1092582.6000000001</v>
      </c>
      <c r="F71" s="25">
        <f>F72+F74+F73</f>
        <v>603834.45358999993</v>
      </c>
      <c r="G71" s="25">
        <f>G72+G74+G73</f>
        <v>596385.15359</v>
      </c>
      <c r="H71" s="79" t="s">
        <v>15</v>
      </c>
      <c r="I71" s="80">
        <f t="shared" si="7"/>
        <v>0.54579999999999995</v>
      </c>
    </row>
    <row r="72" spans="1:9" s="2" customFormat="1" ht="31.5" x14ac:dyDescent="0.25">
      <c r="A72" s="70"/>
      <c r="B72" s="73"/>
      <c r="C72" s="21" t="s">
        <v>14</v>
      </c>
      <c r="D72" s="15">
        <f>D52+D53+D57+D58+D63+D65+D69</f>
        <v>161004.4</v>
      </c>
      <c r="E72" s="15">
        <f t="shared" ref="E72:G72" si="8">E52+E53+E57+E58+E63+E65+E69</f>
        <v>161004.4</v>
      </c>
      <c r="F72" s="15">
        <f>F52+F53+F57+F58+F63+F65+F69</f>
        <v>117310.65358999999</v>
      </c>
      <c r="G72" s="15">
        <f t="shared" si="8"/>
        <v>116934.05359</v>
      </c>
      <c r="H72" s="53" t="s">
        <v>15</v>
      </c>
      <c r="I72" s="54">
        <f t="shared" si="7"/>
        <v>0.72629999999999995</v>
      </c>
    </row>
    <row r="73" spans="1:9" s="2" customFormat="1" ht="31.5" x14ac:dyDescent="0.25">
      <c r="A73" s="70"/>
      <c r="B73" s="73"/>
      <c r="C73" s="21" t="s">
        <v>28</v>
      </c>
      <c r="D73" s="15">
        <f>D68+D67+D62+D59</f>
        <v>69897.399999999994</v>
      </c>
      <c r="E73" s="15">
        <f t="shared" ref="E73:G73" si="9">E68+E67+E62+E59</f>
        <v>69897.399999999994</v>
      </c>
      <c r="F73" s="15">
        <f t="shared" si="9"/>
        <v>51419.6</v>
      </c>
      <c r="G73" s="15">
        <f t="shared" si="9"/>
        <v>51419.6</v>
      </c>
      <c r="H73" s="53" t="s">
        <v>15</v>
      </c>
      <c r="I73" s="54">
        <f t="shared" si="7"/>
        <v>0.73560000000000003</v>
      </c>
    </row>
    <row r="74" spans="1:9" s="2" customFormat="1" ht="47.25" x14ac:dyDescent="0.25">
      <c r="A74" s="70"/>
      <c r="B74" s="73"/>
      <c r="C74" s="21" t="s">
        <v>26</v>
      </c>
      <c r="D74" s="15">
        <f>D66+D64+D61+D60+D56+D55+D54+D70</f>
        <v>861680.8</v>
      </c>
      <c r="E74" s="15">
        <f t="shared" ref="E74:G74" si="10">E66+E64+E61+E60+E56+E55+E54+E70</f>
        <v>861680.8</v>
      </c>
      <c r="F74" s="15">
        <f>F66+F64+F61+F60+F56+F55+F54+F70</f>
        <v>435104.2</v>
      </c>
      <c r="G74" s="15">
        <f t="shared" si="10"/>
        <v>428031.5</v>
      </c>
      <c r="H74" s="53" t="s">
        <v>15</v>
      </c>
      <c r="I74" s="54">
        <f t="shared" si="7"/>
        <v>0.49669999999999997</v>
      </c>
    </row>
    <row r="75" spans="1:9" s="3" customFormat="1" x14ac:dyDescent="0.25">
      <c r="A75" s="74"/>
      <c r="B75" s="30" t="s">
        <v>65</v>
      </c>
      <c r="C75" s="31"/>
      <c r="D75" s="31"/>
      <c r="E75" s="31"/>
      <c r="F75" s="31"/>
      <c r="G75" s="31"/>
      <c r="H75" s="31"/>
      <c r="I75" s="32"/>
    </row>
    <row r="76" spans="1:9" s="2" customFormat="1" ht="78.75" x14ac:dyDescent="0.25">
      <c r="A76" s="81"/>
      <c r="B76" s="21" t="s">
        <v>47</v>
      </c>
      <c r="C76" s="21" t="s">
        <v>14</v>
      </c>
      <c r="D76" s="15">
        <v>161047.5</v>
      </c>
      <c r="E76" s="15">
        <v>161047.5</v>
      </c>
      <c r="F76" s="15">
        <v>121175.6</v>
      </c>
      <c r="G76" s="15">
        <v>120974.1</v>
      </c>
      <c r="H76" s="53" t="s">
        <v>15</v>
      </c>
      <c r="I76" s="54">
        <f>ROUND(G76/E76,4)</f>
        <v>0.75119999999999998</v>
      </c>
    </row>
    <row r="77" spans="1:9" s="2" customFormat="1" ht="78.75" x14ac:dyDescent="0.25">
      <c r="A77" s="81"/>
      <c r="B77" s="21" t="s">
        <v>40</v>
      </c>
      <c r="C77" s="21" t="s">
        <v>14</v>
      </c>
      <c r="D77" s="15">
        <v>950</v>
      </c>
      <c r="E77" s="15">
        <v>950</v>
      </c>
      <c r="F77" s="15">
        <v>157.6</v>
      </c>
      <c r="G77" s="15">
        <v>157.6</v>
      </c>
      <c r="H77" s="53" t="s">
        <v>15</v>
      </c>
      <c r="I77" s="54">
        <f>ROUND(G77/E77,4)</f>
        <v>0.16589999999999999</v>
      </c>
    </row>
    <row r="78" spans="1:9" s="2" customFormat="1" ht="31.5" x14ac:dyDescent="0.25">
      <c r="A78" s="81"/>
      <c r="B78" s="21" t="s">
        <v>66</v>
      </c>
      <c r="C78" s="21" t="s">
        <v>14</v>
      </c>
      <c r="D78" s="15">
        <v>534.29999999999995</v>
      </c>
      <c r="E78" s="15">
        <v>534.29999999999995</v>
      </c>
      <c r="F78" s="15">
        <v>84.5</v>
      </c>
      <c r="G78" s="15">
        <v>84.5</v>
      </c>
      <c r="H78" s="53" t="s">
        <v>15</v>
      </c>
      <c r="I78" s="54">
        <f>ROUND(G78/E78,4)</f>
        <v>0.15820000000000001</v>
      </c>
    </row>
    <row r="79" spans="1:9" s="2" customFormat="1" ht="78.75" x14ac:dyDescent="0.25">
      <c r="A79" s="81"/>
      <c r="B79" s="21" t="s">
        <v>41</v>
      </c>
      <c r="C79" s="21" t="s">
        <v>26</v>
      </c>
      <c r="D79" s="15">
        <v>12826.2</v>
      </c>
      <c r="E79" s="15">
        <v>12826.2</v>
      </c>
      <c r="F79" s="15">
        <v>7695.7</v>
      </c>
      <c r="G79" s="15">
        <v>7695.7</v>
      </c>
      <c r="H79" s="53" t="s">
        <v>15</v>
      </c>
      <c r="I79" s="54">
        <f>ROUND(G79/E79,4)</f>
        <v>0.6</v>
      </c>
    </row>
    <row r="80" spans="1:9" s="2" customFormat="1" ht="78.75" x14ac:dyDescent="0.25">
      <c r="A80" s="81"/>
      <c r="B80" s="21" t="s">
        <v>67</v>
      </c>
      <c r="C80" s="21" t="s">
        <v>14</v>
      </c>
      <c r="D80" s="15">
        <v>4139.7</v>
      </c>
      <c r="E80" s="15">
        <v>4139.7</v>
      </c>
      <c r="F80" s="15">
        <v>2483.8000000000002</v>
      </c>
      <c r="G80" s="15">
        <v>2483.8000000000002</v>
      </c>
      <c r="H80" s="53" t="s">
        <v>15</v>
      </c>
      <c r="I80" s="54">
        <f>ROUND(G80/E80,4)</f>
        <v>0.6</v>
      </c>
    </row>
    <row r="81" spans="1:9" s="2" customFormat="1" ht="110.25" hidden="1" x14ac:dyDescent="0.25">
      <c r="A81" s="81"/>
      <c r="B81" s="21" t="s">
        <v>68</v>
      </c>
      <c r="C81" s="21" t="s">
        <v>14</v>
      </c>
      <c r="D81" s="15">
        <v>0</v>
      </c>
      <c r="E81" s="15">
        <v>0</v>
      </c>
      <c r="F81" s="15">
        <v>0</v>
      </c>
      <c r="G81" s="15">
        <v>0</v>
      </c>
      <c r="H81" s="53" t="s">
        <v>15</v>
      </c>
      <c r="I81" s="54">
        <v>0</v>
      </c>
    </row>
    <row r="82" spans="1:9" s="2" customFormat="1" ht="126" hidden="1" x14ac:dyDescent="0.25">
      <c r="A82" s="81"/>
      <c r="B82" s="21" t="s">
        <v>69</v>
      </c>
      <c r="C82" s="21" t="s">
        <v>14</v>
      </c>
      <c r="D82" s="15">
        <v>0</v>
      </c>
      <c r="E82" s="15">
        <v>0</v>
      </c>
      <c r="F82" s="15">
        <v>0</v>
      </c>
      <c r="G82" s="15">
        <v>0</v>
      </c>
      <c r="H82" s="53" t="s">
        <v>15</v>
      </c>
      <c r="I82" s="54">
        <v>0</v>
      </c>
    </row>
    <row r="83" spans="1:9" s="2" customFormat="1" ht="110.25" x14ac:dyDescent="0.25">
      <c r="A83" s="81"/>
      <c r="B83" s="21" t="s">
        <v>70</v>
      </c>
      <c r="C83" s="21" t="s">
        <v>14</v>
      </c>
      <c r="D83" s="15">
        <v>4243.3</v>
      </c>
      <c r="E83" s="15">
        <v>4243.3</v>
      </c>
      <c r="F83" s="15">
        <v>1493.2</v>
      </c>
      <c r="G83" s="15">
        <v>1493.2</v>
      </c>
      <c r="H83" s="53" t="s">
        <v>15</v>
      </c>
      <c r="I83" s="54">
        <f t="shared" ref="I83:I91" si="11">ROUND(G83/E83,4)</f>
        <v>0.35189999999999999</v>
      </c>
    </row>
    <row r="84" spans="1:9" s="2" customFormat="1" ht="110.25" x14ac:dyDescent="0.25">
      <c r="A84" s="81"/>
      <c r="B84" s="21" t="s">
        <v>71</v>
      </c>
      <c r="C84" s="21" t="s">
        <v>14</v>
      </c>
      <c r="D84" s="15">
        <v>2930</v>
      </c>
      <c r="E84" s="15">
        <v>2930</v>
      </c>
      <c r="F84" s="15">
        <v>1050.4000000000001</v>
      </c>
      <c r="G84" s="15">
        <v>1050.4000000000001</v>
      </c>
      <c r="H84" s="53" t="s">
        <v>15</v>
      </c>
      <c r="I84" s="54">
        <f t="shared" si="11"/>
        <v>0.35849999999999999</v>
      </c>
    </row>
    <row r="85" spans="1:9" s="2" customFormat="1" ht="110.25" x14ac:dyDescent="0.25">
      <c r="A85" s="81"/>
      <c r="B85" s="21" t="s">
        <v>72</v>
      </c>
      <c r="C85" s="21" t="s">
        <v>26</v>
      </c>
      <c r="D85" s="15">
        <v>58731.4</v>
      </c>
      <c r="E85" s="15">
        <v>58731.4</v>
      </c>
      <c r="F85" s="15">
        <v>58731.4</v>
      </c>
      <c r="G85" s="15">
        <v>58731.4</v>
      </c>
      <c r="H85" s="53" t="s">
        <v>15</v>
      </c>
      <c r="I85" s="54">
        <f t="shared" si="11"/>
        <v>1</v>
      </c>
    </row>
    <row r="86" spans="1:9" s="2" customFormat="1" ht="110.25" x14ac:dyDescent="0.25">
      <c r="A86" s="81"/>
      <c r="B86" s="21" t="s">
        <v>73</v>
      </c>
      <c r="C86" s="21" t="s">
        <v>14</v>
      </c>
      <c r="D86" s="15">
        <v>596.79999999999995</v>
      </c>
      <c r="E86" s="15">
        <v>596.79999999999995</v>
      </c>
      <c r="F86" s="15">
        <v>596.79999999999995</v>
      </c>
      <c r="G86" s="15">
        <v>596.79999999999995</v>
      </c>
      <c r="H86" s="53" t="s">
        <v>15</v>
      </c>
      <c r="I86" s="54">
        <f t="shared" si="11"/>
        <v>1</v>
      </c>
    </row>
    <row r="87" spans="1:9" s="2" customFormat="1" ht="94.5" x14ac:dyDescent="0.25">
      <c r="A87" s="81"/>
      <c r="B87" s="21" t="s">
        <v>74</v>
      </c>
      <c r="C87" s="21" t="s">
        <v>26</v>
      </c>
      <c r="D87" s="15">
        <v>20820.099999999999</v>
      </c>
      <c r="E87" s="15">
        <v>20820.099999999999</v>
      </c>
      <c r="F87" s="15">
        <v>20820.099999999999</v>
      </c>
      <c r="G87" s="15">
        <v>20820.099999999999</v>
      </c>
      <c r="H87" s="53" t="s">
        <v>15</v>
      </c>
      <c r="I87" s="54">
        <f t="shared" si="11"/>
        <v>1</v>
      </c>
    </row>
    <row r="88" spans="1:9" s="2" customFormat="1" ht="110.25" x14ac:dyDescent="0.25">
      <c r="A88" s="81"/>
      <c r="B88" s="21" t="s">
        <v>75</v>
      </c>
      <c r="C88" s="21" t="s">
        <v>14</v>
      </c>
      <c r="D88" s="15">
        <v>210.3</v>
      </c>
      <c r="E88" s="15">
        <v>210.3</v>
      </c>
      <c r="F88" s="15">
        <v>210.3</v>
      </c>
      <c r="G88" s="15">
        <v>210.3</v>
      </c>
      <c r="H88" s="53" t="s">
        <v>15</v>
      </c>
      <c r="I88" s="54">
        <f t="shared" si="11"/>
        <v>1</v>
      </c>
    </row>
    <row r="89" spans="1:9" s="2" customFormat="1" x14ac:dyDescent="0.25">
      <c r="A89" s="70"/>
      <c r="B89" s="42" t="s">
        <v>32</v>
      </c>
      <c r="C89" s="24" t="s">
        <v>33</v>
      </c>
      <c r="D89" s="25">
        <f>D90+D91</f>
        <v>267029.59999999998</v>
      </c>
      <c r="E89" s="25">
        <f>E90+E91</f>
        <v>267029.59999999998</v>
      </c>
      <c r="F89" s="25">
        <f>F90+F91</f>
        <v>214499.40000000002</v>
      </c>
      <c r="G89" s="25">
        <f>G90+G91</f>
        <v>214297.90000000002</v>
      </c>
      <c r="H89" s="53" t="s">
        <v>15</v>
      </c>
      <c r="I89" s="54">
        <f t="shared" si="11"/>
        <v>0.80249999999999999</v>
      </c>
    </row>
    <row r="90" spans="1:9" s="2" customFormat="1" ht="31.5" x14ac:dyDescent="0.25">
      <c r="A90" s="70"/>
      <c r="B90" s="73"/>
      <c r="C90" s="21" t="s">
        <v>14</v>
      </c>
      <c r="D90" s="15">
        <f>D76+D77+D78+D80+D81+D82+D83+D84+D86+D88</f>
        <v>174651.89999999997</v>
      </c>
      <c r="E90" s="15">
        <f>E76+E77+E78+E80+E81+E82+E83+E84+E86+E88</f>
        <v>174651.89999999997</v>
      </c>
      <c r="F90" s="15">
        <f>F76+F77+F78+F80+F81+F82+F83+F84+F86+F88</f>
        <v>127252.20000000001</v>
      </c>
      <c r="G90" s="15">
        <f>G76+G77+G78+G80+G81+G82+G83+G84+G86+G88</f>
        <v>127050.70000000001</v>
      </c>
      <c r="H90" s="53" t="s">
        <v>15</v>
      </c>
      <c r="I90" s="54">
        <f t="shared" si="11"/>
        <v>0.72750000000000004</v>
      </c>
    </row>
    <row r="91" spans="1:9" s="2" customFormat="1" ht="47.25" x14ac:dyDescent="0.25">
      <c r="A91" s="70"/>
      <c r="B91" s="73"/>
      <c r="C91" s="21" t="s">
        <v>26</v>
      </c>
      <c r="D91" s="15">
        <f>D79+D85+D87</f>
        <v>92377.700000000012</v>
      </c>
      <c r="E91" s="15">
        <f>E79+E85+E87</f>
        <v>92377.700000000012</v>
      </c>
      <c r="F91" s="15">
        <f>F79+F85+F87</f>
        <v>87247.200000000012</v>
      </c>
      <c r="G91" s="15">
        <f>G79+G85+G87</f>
        <v>87247.200000000012</v>
      </c>
      <c r="H91" s="53" t="s">
        <v>15</v>
      </c>
      <c r="I91" s="54">
        <f t="shared" si="11"/>
        <v>0.94450000000000001</v>
      </c>
    </row>
    <row r="92" spans="1:9" s="3" customFormat="1" x14ac:dyDescent="0.25">
      <c r="A92" s="74"/>
      <c r="B92" s="30" t="s">
        <v>76</v>
      </c>
      <c r="C92" s="31"/>
      <c r="D92" s="31"/>
      <c r="E92" s="31"/>
      <c r="F92" s="31"/>
      <c r="G92" s="31"/>
      <c r="H92" s="31"/>
      <c r="I92" s="32"/>
    </row>
    <row r="93" spans="1:9" s="2" customFormat="1" ht="78.75" x14ac:dyDescent="0.25">
      <c r="A93" s="81"/>
      <c r="B93" s="21" t="s">
        <v>39</v>
      </c>
      <c r="C93" s="21" t="s">
        <v>14</v>
      </c>
      <c r="D93" s="15">
        <v>5587.2</v>
      </c>
      <c r="E93" s="15">
        <v>5587.2</v>
      </c>
      <c r="F93" s="15">
        <v>4270.7</v>
      </c>
      <c r="G93" s="15">
        <v>4270.7</v>
      </c>
      <c r="H93" s="53" t="s">
        <v>15</v>
      </c>
      <c r="I93" s="54">
        <f t="shared" ref="I93:I100" si="12">ROUND(G93/E93,4)</f>
        <v>0.76439999999999997</v>
      </c>
    </row>
    <row r="94" spans="1:9" s="2" customFormat="1" ht="78.75" x14ac:dyDescent="0.25">
      <c r="A94" s="81"/>
      <c r="B94" s="21" t="s">
        <v>40</v>
      </c>
      <c r="C94" s="21" t="s">
        <v>14</v>
      </c>
      <c r="D94" s="15">
        <v>90</v>
      </c>
      <c r="E94" s="15">
        <v>90</v>
      </c>
      <c r="F94" s="15">
        <v>0</v>
      </c>
      <c r="G94" s="15">
        <v>0</v>
      </c>
      <c r="H94" s="53" t="s">
        <v>15</v>
      </c>
      <c r="I94" s="54">
        <f t="shared" si="12"/>
        <v>0</v>
      </c>
    </row>
    <row r="95" spans="1:9" s="2" customFormat="1" x14ac:dyDescent="0.25">
      <c r="A95" s="70"/>
      <c r="B95" s="42" t="s">
        <v>32</v>
      </c>
      <c r="C95" s="24" t="s">
        <v>33</v>
      </c>
      <c r="D95" s="25">
        <f>D96</f>
        <v>5677.2</v>
      </c>
      <c r="E95" s="25">
        <f>E96</f>
        <v>5677.2</v>
      </c>
      <c r="F95" s="25">
        <f>F96</f>
        <v>4270.7</v>
      </c>
      <c r="G95" s="25">
        <f>G96</f>
        <v>4270.7</v>
      </c>
      <c r="H95" s="53" t="s">
        <v>15</v>
      </c>
      <c r="I95" s="54">
        <f t="shared" si="12"/>
        <v>0.75229999999999997</v>
      </c>
    </row>
    <row r="96" spans="1:9" s="2" customFormat="1" ht="31.5" x14ac:dyDescent="0.25">
      <c r="A96" s="70"/>
      <c r="B96" s="73"/>
      <c r="C96" s="21" t="s">
        <v>14</v>
      </c>
      <c r="D96" s="15">
        <f>D93+D94</f>
        <v>5677.2</v>
      </c>
      <c r="E96" s="15">
        <f>E93+E94</f>
        <v>5677.2</v>
      </c>
      <c r="F96" s="15">
        <f>F93+F94</f>
        <v>4270.7</v>
      </c>
      <c r="G96" s="15">
        <f>G93+G94</f>
        <v>4270.7</v>
      </c>
      <c r="H96" s="53" t="s">
        <v>15</v>
      </c>
      <c r="I96" s="54">
        <f t="shared" si="12"/>
        <v>0.75229999999999997</v>
      </c>
    </row>
    <row r="97" spans="1:9" s="2" customFormat="1" x14ac:dyDescent="0.25">
      <c r="A97" s="63"/>
      <c r="B97" s="43" t="s">
        <v>77</v>
      </c>
      <c r="C97" s="24" t="s">
        <v>33</v>
      </c>
      <c r="D97" s="25">
        <f>D98+D99+D100</f>
        <v>2629059.5</v>
      </c>
      <c r="E97" s="25">
        <f>E98+E99+E100</f>
        <v>2629059.5</v>
      </c>
      <c r="F97" s="25">
        <f>F98+F99+F100</f>
        <v>1496514.5535899997</v>
      </c>
      <c r="G97" s="25">
        <f>G98+G99+G100</f>
        <v>1481008.5535899999</v>
      </c>
      <c r="H97" s="53" t="s">
        <v>15</v>
      </c>
      <c r="I97" s="54">
        <f t="shared" si="12"/>
        <v>0.56330000000000002</v>
      </c>
    </row>
    <row r="98" spans="1:9" s="2" customFormat="1" ht="31.5" x14ac:dyDescent="0.25">
      <c r="A98" s="64"/>
      <c r="B98" s="59"/>
      <c r="C98" s="21" t="s">
        <v>14</v>
      </c>
      <c r="D98" s="15">
        <f>D32+D38+D49+D72+D90+D96</f>
        <v>754255</v>
      </c>
      <c r="E98" s="15">
        <f>E32+E38+E49+E72+E90+E96</f>
        <v>754255</v>
      </c>
      <c r="F98" s="15">
        <f>F32+F38+F49+F72+F90+F96</f>
        <v>481844.75358999998</v>
      </c>
      <c r="G98" s="15">
        <f>G32+G38+G49+G72+G90+G96-0.1</f>
        <v>480690.65359</v>
      </c>
      <c r="H98" s="53" t="s">
        <v>15</v>
      </c>
      <c r="I98" s="54">
        <f t="shared" si="12"/>
        <v>0.63729999999999998</v>
      </c>
    </row>
    <row r="99" spans="1:9" s="2" customFormat="1" ht="47.25" x14ac:dyDescent="0.25">
      <c r="A99" s="64"/>
      <c r="B99" s="59"/>
      <c r="C99" s="21" t="s">
        <v>26</v>
      </c>
      <c r="D99" s="15">
        <f>D31+D39+D50+D74+D91</f>
        <v>1546575.7</v>
      </c>
      <c r="E99" s="15">
        <f>E31+E39+E50+E74+E91</f>
        <v>1546575.7</v>
      </c>
      <c r="F99" s="15">
        <f>F31+F39+F50+F74+F91</f>
        <v>825420.39999999991</v>
      </c>
      <c r="G99" s="15">
        <f>G31+G39+G50+G74+G91</f>
        <v>811068.5</v>
      </c>
      <c r="H99" s="53" t="s">
        <v>15</v>
      </c>
      <c r="I99" s="54">
        <f t="shared" si="12"/>
        <v>0.52439999999999998</v>
      </c>
    </row>
    <row r="100" spans="1:9" s="2" customFormat="1" ht="31.5" x14ac:dyDescent="0.25">
      <c r="A100" s="82"/>
      <c r="B100" s="82"/>
      <c r="C100" s="21" t="s">
        <v>28</v>
      </c>
      <c r="D100" s="15">
        <f>D30+D73</f>
        <v>328228.80000000005</v>
      </c>
      <c r="E100" s="15">
        <f>E30+E73</f>
        <v>328228.80000000005</v>
      </c>
      <c r="F100" s="15">
        <f>F30+F73</f>
        <v>189249.4</v>
      </c>
      <c r="G100" s="15">
        <f>G30+G73</f>
        <v>189249.4</v>
      </c>
      <c r="H100" s="53" t="s">
        <v>15</v>
      </c>
      <c r="I100" s="54">
        <f t="shared" si="12"/>
        <v>0.5766</v>
      </c>
    </row>
    <row r="101" spans="1:9" s="3" customFormat="1" ht="15.75" customHeight="1" x14ac:dyDescent="0.25">
      <c r="A101" s="24">
        <v>2</v>
      </c>
      <c r="B101" s="30" t="s">
        <v>78</v>
      </c>
      <c r="C101" s="31"/>
      <c r="D101" s="31"/>
      <c r="E101" s="31"/>
      <c r="F101" s="31"/>
      <c r="G101" s="31"/>
      <c r="H101" s="31"/>
      <c r="I101" s="32"/>
    </row>
    <row r="102" spans="1:9" ht="31.5" customHeight="1" x14ac:dyDescent="0.25">
      <c r="A102" s="52"/>
      <c r="B102" s="21" t="s">
        <v>79</v>
      </c>
      <c r="C102" s="21" t="s">
        <v>14</v>
      </c>
      <c r="D102" s="15">
        <v>18</v>
      </c>
      <c r="E102" s="15">
        <v>18</v>
      </c>
      <c r="F102" s="15">
        <v>0</v>
      </c>
      <c r="G102" s="15">
        <v>0</v>
      </c>
      <c r="H102" s="53" t="s">
        <v>15</v>
      </c>
      <c r="I102" s="54">
        <f t="shared" ref="I102:I108" si="13">ROUND(G102/E102,4)</f>
        <v>0</v>
      </c>
    </row>
    <row r="103" spans="1:9" ht="173.25" x14ac:dyDescent="0.25">
      <c r="A103" s="52"/>
      <c r="B103" s="21" t="s">
        <v>80</v>
      </c>
      <c r="C103" s="21" t="s">
        <v>26</v>
      </c>
      <c r="D103" s="15">
        <v>1067.5</v>
      </c>
      <c r="E103" s="15">
        <v>1067.5</v>
      </c>
      <c r="F103" s="15">
        <v>445.5</v>
      </c>
      <c r="G103" s="15">
        <v>0</v>
      </c>
      <c r="H103" s="53" t="s">
        <v>15</v>
      </c>
      <c r="I103" s="54">
        <f t="shared" si="13"/>
        <v>0</v>
      </c>
    </row>
    <row r="104" spans="1:9" ht="220.5" x14ac:dyDescent="0.25">
      <c r="A104" s="52"/>
      <c r="B104" s="21" t="s">
        <v>296</v>
      </c>
      <c r="C104" s="21" t="s">
        <v>26</v>
      </c>
      <c r="D104" s="15">
        <v>3185.3</v>
      </c>
      <c r="E104" s="15">
        <v>3185.3</v>
      </c>
      <c r="F104" s="15">
        <v>0</v>
      </c>
      <c r="G104" s="15">
        <v>0</v>
      </c>
      <c r="H104" s="53" t="s">
        <v>15</v>
      </c>
      <c r="I104" s="54">
        <f t="shared" ref="I104" si="14">ROUND(G104/E104,4)</f>
        <v>0</v>
      </c>
    </row>
    <row r="105" spans="1:9" ht="276" customHeight="1" x14ac:dyDescent="0.25">
      <c r="A105" s="52"/>
      <c r="B105" s="21" t="s">
        <v>81</v>
      </c>
      <c r="C105" s="21" t="s">
        <v>26</v>
      </c>
      <c r="D105" s="15">
        <v>12577.4</v>
      </c>
      <c r="E105" s="15">
        <v>12577.4</v>
      </c>
      <c r="F105" s="15">
        <v>0</v>
      </c>
      <c r="G105" s="15">
        <v>0</v>
      </c>
      <c r="H105" s="53" t="s">
        <v>15</v>
      </c>
      <c r="I105" s="54">
        <f t="shared" si="13"/>
        <v>0</v>
      </c>
    </row>
    <row r="106" spans="1:9" ht="78.75" x14ac:dyDescent="0.25">
      <c r="A106" s="52"/>
      <c r="B106" s="21" t="s">
        <v>82</v>
      </c>
      <c r="C106" s="21" t="s">
        <v>28</v>
      </c>
      <c r="D106" s="15">
        <v>10000</v>
      </c>
      <c r="E106" s="15">
        <v>10000</v>
      </c>
      <c r="F106" s="15">
        <v>7370.2</v>
      </c>
      <c r="G106" s="15">
        <v>7370.2</v>
      </c>
      <c r="H106" s="53" t="s">
        <v>15</v>
      </c>
      <c r="I106" s="54">
        <f t="shared" si="13"/>
        <v>0.73699999999999999</v>
      </c>
    </row>
    <row r="107" spans="1:9" ht="63" x14ac:dyDescent="0.25">
      <c r="A107" s="52"/>
      <c r="B107" s="21" t="s">
        <v>83</v>
      </c>
      <c r="C107" s="21" t="s">
        <v>26</v>
      </c>
      <c r="D107" s="15">
        <v>69597.899999999994</v>
      </c>
      <c r="E107" s="15">
        <v>24254</v>
      </c>
      <c r="F107" s="15">
        <v>32550.2</v>
      </c>
      <c r="G107" s="15">
        <v>32122.799999999999</v>
      </c>
      <c r="H107" s="53" t="s">
        <v>15</v>
      </c>
      <c r="I107" s="54">
        <f t="shared" si="13"/>
        <v>1.3244</v>
      </c>
    </row>
    <row r="108" spans="1:9" ht="110.25" x14ac:dyDescent="0.25">
      <c r="A108" s="52"/>
      <c r="B108" s="21" t="s">
        <v>84</v>
      </c>
      <c r="C108" s="21" t="s">
        <v>26</v>
      </c>
      <c r="D108" s="15">
        <v>2098.6</v>
      </c>
      <c r="E108" s="15">
        <v>2098.6</v>
      </c>
      <c r="F108" s="15">
        <v>715</v>
      </c>
      <c r="G108" s="15">
        <v>669.3</v>
      </c>
      <c r="H108" s="53" t="s">
        <v>15</v>
      </c>
      <c r="I108" s="54">
        <f t="shared" si="13"/>
        <v>0.31890000000000002</v>
      </c>
    </row>
    <row r="109" spans="1:9" ht="15.75" customHeight="1" x14ac:dyDescent="0.25">
      <c r="A109" s="70"/>
      <c r="B109" s="42" t="s">
        <v>77</v>
      </c>
      <c r="C109" s="24" t="s">
        <v>33</v>
      </c>
      <c r="D109" s="25">
        <f>D111+D112+D110</f>
        <v>98544.7</v>
      </c>
      <c r="E109" s="25">
        <f>E111+E112+E110</f>
        <v>53200.800000000003</v>
      </c>
      <c r="F109" s="25">
        <f>F111+F112+F110</f>
        <v>41080.899999999994</v>
      </c>
      <c r="G109" s="25">
        <f>G111+G112+G110+0.1</f>
        <v>40162.299999999996</v>
      </c>
      <c r="H109" s="53" t="s">
        <v>15</v>
      </c>
      <c r="I109" s="54">
        <f>ROUND(G109/E109,4)</f>
        <v>0.75490000000000002</v>
      </c>
    </row>
    <row r="110" spans="1:9" ht="31.5" customHeight="1" x14ac:dyDescent="0.25">
      <c r="A110" s="70"/>
      <c r="B110" s="42"/>
      <c r="C110" s="21" t="s">
        <v>28</v>
      </c>
      <c r="D110" s="15">
        <f>D106</f>
        <v>10000</v>
      </c>
      <c r="E110" s="15">
        <f t="shared" ref="E110:G110" si="15">E106</f>
        <v>10000</v>
      </c>
      <c r="F110" s="15">
        <f t="shared" si="15"/>
        <v>7370.2</v>
      </c>
      <c r="G110" s="15">
        <f t="shared" si="15"/>
        <v>7370.2</v>
      </c>
      <c r="H110" s="53" t="s">
        <v>15</v>
      </c>
      <c r="I110" s="54">
        <f>ROUND(G110/E110,4)</f>
        <v>0.73699999999999999</v>
      </c>
    </row>
    <row r="111" spans="1:9" ht="31.5" customHeight="1" x14ac:dyDescent="0.25">
      <c r="A111" s="70"/>
      <c r="B111" s="73"/>
      <c r="C111" s="21" t="s">
        <v>14</v>
      </c>
      <c r="D111" s="15">
        <f>D102</f>
        <v>18</v>
      </c>
      <c r="E111" s="15">
        <f t="shared" ref="E111:G111" si="16">E102</f>
        <v>18</v>
      </c>
      <c r="F111" s="15">
        <f t="shared" si="16"/>
        <v>0</v>
      </c>
      <c r="G111" s="15">
        <f t="shared" si="16"/>
        <v>0</v>
      </c>
      <c r="H111" s="53" t="s">
        <v>15</v>
      </c>
      <c r="I111" s="54">
        <f>ROUND(G111/E111,4)</f>
        <v>0</v>
      </c>
    </row>
    <row r="112" spans="1:9" ht="47.25" x14ac:dyDescent="0.25">
      <c r="A112" s="70"/>
      <c r="B112" s="73"/>
      <c r="C112" s="21" t="s">
        <v>26</v>
      </c>
      <c r="D112" s="15">
        <f>D103+D107+D108+D105+D104</f>
        <v>88526.7</v>
      </c>
      <c r="E112" s="15">
        <f t="shared" ref="E112:F112" si="17">E103+E107+E108+E105+E104</f>
        <v>43182.8</v>
      </c>
      <c r="F112" s="15">
        <f t="shared" si="17"/>
        <v>33710.699999999997</v>
      </c>
      <c r="G112" s="15">
        <f>G103+G107+G108+G105+G104-0.1</f>
        <v>32792</v>
      </c>
      <c r="H112" s="53" t="s">
        <v>15</v>
      </c>
      <c r="I112" s="54">
        <f>ROUND(G112/E112,4)</f>
        <v>0.75939999999999996</v>
      </c>
    </row>
    <row r="113" spans="1:9" x14ac:dyDescent="0.25">
      <c r="A113" s="24">
        <v>3</v>
      </c>
      <c r="B113" s="30" t="s">
        <v>85</v>
      </c>
      <c r="C113" s="31"/>
      <c r="D113" s="31"/>
      <c r="E113" s="31"/>
      <c r="F113" s="31"/>
      <c r="G113" s="31"/>
      <c r="H113" s="31"/>
      <c r="I113" s="32"/>
    </row>
    <row r="114" spans="1:9" ht="63" x14ac:dyDescent="0.25">
      <c r="A114" s="24"/>
      <c r="B114" s="21" t="s">
        <v>86</v>
      </c>
      <c r="C114" s="21" t="s">
        <v>14</v>
      </c>
      <c r="D114" s="15">
        <v>306</v>
      </c>
      <c r="E114" s="15">
        <v>306</v>
      </c>
      <c r="F114" s="15">
        <v>153</v>
      </c>
      <c r="G114" s="15">
        <v>153</v>
      </c>
      <c r="H114" s="53" t="s">
        <v>15</v>
      </c>
      <c r="I114" s="54">
        <f t="shared" ref="I114:I125" si="18">ROUND(G114/E114,4)</f>
        <v>0.5</v>
      </c>
    </row>
    <row r="115" spans="1:9" ht="252" x14ac:dyDescent="0.25">
      <c r="A115" s="83"/>
      <c r="B115" s="21" t="s">
        <v>87</v>
      </c>
      <c r="C115" s="21" t="s">
        <v>26</v>
      </c>
      <c r="D115" s="15">
        <v>39189.300000000003</v>
      </c>
      <c r="E115" s="15">
        <v>39189.300000000003</v>
      </c>
      <c r="F115" s="15">
        <v>19600</v>
      </c>
      <c r="G115" s="15">
        <v>19600</v>
      </c>
      <c r="H115" s="53" t="s">
        <v>15</v>
      </c>
      <c r="I115" s="54">
        <f t="shared" si="18"/>
        <v>0.50009999999999999</v>
      </c>
    </row>
    <row r="116" spans="1:9" ht="94.5" x14ac:dyDescent="0.25">
      <c r="A116" s="83"/>
      <c r="B116" s="21" t="s">
        <v>88</v>
      </c>
      <c r="C116" s="21" t="s">
        <v>26</v>
      </c>
      <c r="D116" s="15">
        <v>3059.1</v>
      </c>
      <c r="E116" s="15">
        <v>3059.1</v>
      </c>
      <c r="F116" s="15">
        <v>1500</v>
      </c>
      <c r="G116" s="15">
        <v>1500</v>
      </c>
      <c r="H116" s="53" t="s">
        <v>15</v>
      </c>
      <c r="I116" s="54">
        <f t="shared" si="18"/>
        <v>0.49030000000000001</v>
      </c>
    </row>
    <row r="117" spans="1:9" ht="157.5" x14ac:dyDescent="0.25">
      <c r="A117" s="83"/>
      <c r="B117" s="21" t="s">
        <v>89</v>
      </c>
      <c r="C117" s="21" t="s">
        <v>26</v>
      </c>
      <c r="D117" s="15">
        <v>148.69999999999999</v>
      </c>
      <c r="E117" s="15">
        <v>148.69999999999999</v>
      </c>
      <c r="F117" s="15">
        <v>87</v>
      </c>
      <c r="G117" s="15">
        <v>87</v>
      </c>
      <c r="H117" s="53" t="s">
        <v>15</v>
      </c>
      <c r="I117" s="54">
        <f t="shared" si="18"/>
        <v>0.58509999999999995</v>
      </c>
    </row>
    <row r="118" spans="1:9" ht="94.5" x14ac:dyDescent="0.25">
      <c r="A118" s="83"/>
      <c r="B118" s="21" t="s">
        <v>90</v>
      </c>
      <c r="C118" s="21" t="s">
        <v>26</v>
      </c>
      <c r="D118" s="15">
        <v>14869.4</v>
      </c>
      <c r="E118" s="15">
        <v>14869.4</v>
      </c>
      <c r="F118" s="15">
        <v>8700</v>
      </c>
      <c r="G118" s="15">
        <v>8700</v>
      </c>
      <c r="H118" s="53" t="s">
        <v>15</v>
      </c>
      <c r="I118" s="54">
        <f t="shared" si="18"/>
        <v>0.58509999999999995</v>
      </c>
    </row>
    <row r="119" spans="1:9" ht="78.75" x14ac:dyDescent="0.25">
      <c r="A119" s="83"/>
      <c r="B119" s="21" t="s">
        <v>91</v>
      </c>
      <c r="C119" s="21" t="s">
        <v>14</v>
      </c>
      <c r="D119" s="15">
        <v>5781</v>
      </c>
      <c r="E119" s="15">
        <v>5781</v>
      </c>
      <c r="F119" s="15">
        <v>2941.7</v>
      </c>
      <c r="G119" s="15">
        <v>2868.8</v>
      </c>
      <c r="H119" s="53" t="s">
        <v>15</v>
      </c>
      <c r="I119" s="54">
        <f t="shared" si="18"/>
        <v>0.49619999999999997</v>
      </c>
    </row>
    <row r="120" spans="1:9" ht="63" x14ac:dyDescent="0.25">
      <c r="A120" s="83"/>
      <c r="B120" s="21" t="s">
        <v>92</v>
      </c>
      <c r="C120" s="21" t="s">
        <v>14</v>
      </c>
      <c r="D120" s="15">
        <v>48</v>
      </c>
      <c r="E120" s="15">
        <v>48</v>
      </c>
      <c r="F120" s="15">
        <v>28</v>
      </c>
      <c r="G120" s="15">
        <v>24</v>
      </c>
      <c r="H120" s="53" t="s">
        <v>15</v>
      </c>
      <c r="I120" s="54">
        <f t="shared" si="18"/>
        <v>0.5</v>
      </c>
    </row>
    <row r="121" spans="1:9" ht="47.25" x14ac:dyDescent="0.25">
      <c r="A121" s="83"/>
      <c r="B121" s="21" t="s">
        <v>93</v>
      </c>
      <c r="C121" s="21" t="s">
        <v>26</v>
      </c>
      <c r="D121" s="15">
        <v>137</v>
      </c>
      <c r="E121" s="15">
        <v>137</v>
      </c>
      <c r="F121" s="15">
        <v>0</v>
      </c>
      <c r="G121" s="15">
        <v>0</v>
      </c>
      <c r="H121" s="53" t="s">
        <v>15</v>
      </c>
      <c r="I121" s="54">
        <f t="shared" si="18"/>
        <v>0</v>
      </c>
    </row>
    <row r="122" spans="1:9" ht="110.25" x14ac:dyDescent="0.25">
      <c r="A122" s="83"/>
      <c r="B122" s="21" t="s">
        <v>94</v>
      </c>
      <c r="C122" s="21" t="s">
        <v>26</v>
      </c>
      <c r="D122" s="15">
        <v>4907.5</v>
      </c>
      <c r="E122" s="15">
        <v>4907.5</v>
      </c>
      <c r="F122" s="15">
        <v>2060</v>
      </c>
      <c r="G122" s="15">
        <v>1946.2</v>
      </c>
      <c r="H122" s="53" t="s">
        <v>15</v>
      </c>
      <c r="I122" s="54">
        <f t="shared" si="18"/>
        <v>0.39660000000000001</v>
      </c>
    </row>
    <row r="123" spans="1:9" x14ac:dyDescent="0.25">
      <c r="A123" s="70"/>
      <c r="B123" s="42" t="s">
        <v>77</v>
      </c>
      <c r="C123" s="24" t="s">
        <v>33</v>
      </c>
      <c r="D123" s="25">
        <f>D124+D125</f>
        <v>68446</v>
      </c>
      <c r="E123" s="25">
        <f>E124+E125</f>
        <v>68446</v>
      </c>
      <c r="F123" s="25">
        <f>F124+F125</f>
        <v>35069.699999999997</v>
      </c>
      <c r="G123" s="25">
        <f>G124+G125</f>
        <v>34879</v>
      </c>
      <c r="H123" s="79" t="s">
        <v>15</v>
      </c>
      <c r="I123" s="80">
        <f t="shared" si="18"/>
        <v>0.50960000000000005</v>
      </c>
    </row>
    <row r="124" spans="1:9" ht="31.5" x14ac:dyDescent="0.25">
      <c r="A124" s="70"/>
      <c r="B124" s="73"/>
      <c r="C124" s="21" t="s">
        <v>14</v>
      </c>
      <c r="D124" s="15">
        <f>D114+D119+D120</f>
        <v>6135</v>
      </c>
      <c r="E124" s="15">
        <f>E114+E119+E120</f>
        <v>6135</v>
      </c>
      <c r="F124" s="15">
        <f>F114+F119+F120</f>
        <v>3122.7</v>
      </c>
      <c r="G124" s="15">
        <f>G114+G119+G120</f>
        <v>3045.8</v>
      </c>
      <c r="H124" s="53" t="s">
        <v>15</v>
      </c>
      <c r="I124" s="54">
        <f t="shared" si="18"/>
        <v>0.4965</v>
      </c>
    </row>
    <row r="125" spans="1:9" ht="47.25" x14ac:dyDescent="0.25">
      <c r="A125" s="70"/>
      <c r="B125" s="73"/>
      <c r="C125" s="21" t="s">
        <v>26</v>
      </c>
      <c r="D125" s="15">
        <f>D115+D116+D117+D118+D121+D122</f>
        <v>62311</v>
      </c>
      <c r="E125" s="15">
        <f>E115+E116+E117+E118+E121+E122</f>
        <v>62311</v>
      </c>
      <c r="F125" s="15">
        <f>F115+F116+F117+F118+F121+F122</f>
        <v>31947</v>
      </c>
      <c r="G125" s="15">
        <f>G115+G116+G117+G118+G121+G122</f>
        <v>31833.200000000001</v>
      </c>
      <c r="H125" s="53" t="s">
        <v>15</v>
      </c>
      <c r="I125" s="54">
        <f t="shared" si="18"/>
        <v>0.51090000000000002</v>
      </c>
    </row>
    <row r="126" spans="1:9" x14ac:dyDescent="0.25">
      <c r="A126" s="24">
        <v>4</v>
      </c>
      <c r="B126" s="30" t="s">
        <v>95</v>
      </c>
      <c r="C126" s="31"/>
      <c r="D126" s="31"/>
      <c r="E126" s="31"/>
      <c r="F126" s="31"/>
      <c r="G126" s="31"/>
      <c r="H126" s="31"/>
      <c r="I126" s="32"/>
    </row>
    <row r="127" spans="1:9" ht="31.5" x14ac:dyDescent="0.25">
      <c r="A127" s="83"/>
      <c r="B127" s="21" t="s">
        <v>96</v>
      </c>
      <c r="C127" s="21" t="s">
        <v>14</v>
      </c>
      <c r="D127" s="15">
        <f>404.5+1224.3+195</f>
        <v>1823.8</v>
      </c>
      <c r="E127" s="15">
        <f>404.5+1224.3+195</f>
        <v>1823.8</v>
      </c>
      <c r="F127" s="15">
        <f>34+666.7+99.4</f>
        <v>800.1</v>
      </c>
      <c r="G127" s="15">
        <f>34+666.7+99.4</f>
        <v>800.1</v>
      </c>
      <c r="H127" s="53" t="s">
        <v>15</v>
      </c>
      <c r="I127" s="54">
        <f t="shared" ref="I127:I136" si="19">ROUND(G127/E127,4)</f>
        <v>0.43869999999999998</v>
      </c>
    </row>
    <row r="128" spans="1:9" ht="47.25" x14ac:dyDescent="0.25">
      <c r="A128" s="83"/>
      <c r="B128" s="21" t="s">
        <v>97</v>
      </c>
      <c r="C128" s="21" t="s">
        <v>14</v>
      </c>
      <c r="D128" s="15">
        <v>70</v>
      </c>
      <c r="E128" s="15">
        <v>70</v>
      </c>
      <c r="F128" s="15">
        <v>30.5</v>
      </c>
      <c r="G128" s="15">
        <v>30.5</v>
      </c>
      <c r="H128" s="53" t="s">
        <v>15</v>
      </c>
      <c r="I128" s="54">
        <f t="shared" si="19"/>
        <v>0.43569999999999998</v>
      </c>
    </row>
    <row r="129" spans="1:9" ht="47.25" x14ac:dyDescent="0.25">
      <c r="A129" s="84"/>
      <c r="B129" s="19" t="s">
        <v>98</v>
      </c>
      <c r="C129" s="21" t="s">
        <v>26</v>
      </c>
      <c r="D129" s="15">
        <v>1000</v>
      </c>
      <c r="E129" s="15">
        <v>1000</v>
      </c>
      <c r="F129" s="15">
        <v>0</v>
      </c>
      <c r="G129" s="15">
        <v>0</v>
      </c>
      <c r="H129" s="53" t="s">
        <v>15</v>
      </c>
      <c r="I129" s="54">
        <f t="shared" si="19"/>
        <v>0</v>
      </c>
    </row>
    <row r="130" spans="1:9" ht="31.5" x14ac:dyDescent="0.25">
      <c r="A130" s="84"/>
      <c r="B130" s="19" t="s">
        <v>99</v>
      </c>
      <c r="C130" s="21" t="s">
        <v>14</v>
      </c>
      <c r="D130" s="15">
        <v>322.8</v>
      </c>
      <c r="E130" s="15">
        <v>322.8</v>
      </c>
      <c r="F130" s="15">
        <v>0</v>
      </c>
      <c r="G130" s="15">
        <v>0</v>
      </c>
      <c r="H130" s="53" t="s">
        <v>15</v>
      </c>
      <c r="I130" s="54">
        <f t="shared" si="19"/>
        <v>0</v>
      </c>
    </row>
    <row r="131" spans="1:9" ht="47.25" x14ac:dyDescent="0.25">
      <c r="A131" s="84"/>
      <c r="B131" s="19" t="s">
        <v>100</v>
      </c>
      <c r="C131" s="21" t="s">
        <v>26</v>
      </c>
      <c r="D131" s="15">
        <v>18000</v>
      </c>
      <c r="E131" s="15">
        <v>18000</v>
      </c>
      <c r="F131" s="15">
        <v>0</v>
      </c>
      <c r="G131" s="15">
        <v>0</v>
      </c>
      <c r="H131" s="53" t="s">
        <v>15</v>
      </c>
      <c r="I131" s="54">
        <f t="shared" si="19"/>
        <v>0</v>
      </c>
    </row>
    <row r="132" spans="1:9" ht="47.25" x14ac:dyDescent="0.25">
      <c r="A132" s="84"/>
      <c r="B132" s="19" t="s">
        <v>101</v>
      </c>
      <c r="C132" s="21" t="s">
        <v>14</v>
      </c>
      <c r="D132" s="15">
        <v>5809.5</v>
      </c>
      <c r="E132" s="15">
        <v>5809.5</v>
      </c>
      <c r="F132" s="15">
        <v>0</v>
      </c>
      <c r="G132" s="15">
        <v>0</v>
      </c>
      <c r="H132" s="53" t="s">
        <v>15</v>
      </c>
      <c r="I132" s="54">
        <f t="shared" si="19"/>
        <v>0</v>
      </c>
    </row>
    <row r="133" spans="1:9" ht="31.5" x14ac:dyDescent="0.25">
      <c r="A133" s="84"/>
      <c r="B133" s="19" t="s">
        <v>102</v>
      </c>
      <c r="C133" s="21" t="s">
        <v>14</v>
      </c>
      <c r="D133" s="15">
        <v>2000</v>
      </c>
      <c r="E133" s="15">
        <v>2000</v>
      </c>
      <c r="F133" s="15">
        <v>999.2</v>
      </c>
      <c r="G133" s="15">
        <v>999.2</v>
      </c>
      <c r="H133" s="53" t="s">
        <v>15</v>
      </c>
      <c r="I133" s="54">
        <f t="shared" si="19"/>
        <v>0.49959999999999999</v>
      </c>
    </row>
    <row r="134" spans="1:9" x14ac:dyDescent="0.25">
      <c r="A134" s="63"/>
      <c r="B134" s="43" t="s">
        <v>77</v>
      </c>
      <c r="C134" s="24" t="s">
        <v>33</v>
      </c>
      <c r="D134" s="25">
        <f>D136+D135</f>
        <v>29026.1</v>
      </c>
      <c r="E134" s="25">
        <f>E136+E135</f>
        <v>29026.1</v>
      </c>
      <c r="F134" s="25">
        <f>F136+F135</f>
        <v>1829.8000000000002</v>
      </c>
      <c r="G134" s="25">
        <f>G136+G135</f>
        <v>1829.8000000000002</v>
      </c>
      <c r="H134" s="53" t="s">
        <v>15</v>
      </c>
      <c r="I134" s="54">
        <f t="shared" si="19"/>
        <v>6.3E-2</v>
      </c>
    </row>
    <row r="135" spans="1:9" ht="47.25" x14ac:dyDescent="0.25">
      <c r="A135" s="64"/>
      <c r="B135" s="85"/>
      <c r="C135" s="21" t="s">
        <v>26</v>
      </c>
      <c r="D135" s="15">
        <f>D131+D129</f>
        <v>19000</v>
      </c>
      <c r="E135" s="15">
        <f t="shared" ref="E135:G135" si="20">E131+E129</f>
        <v>19000</v>
      </c>
      <c r="F135" s="15">
        <f t="shared" si="20"/>
        <v>0</v>
      </c>
      <c r="G135" s="15">
        <f t="shared" si="20"/>
        <v>0</v>
      </c>
      <c r="H135" s="53" t="s">
        <v>15</v>
      </c>
      <c r="I135" s="54">
        <f t="shared" si="19"/>
        <v>0</v>
      </c>
    </row>
    <row r="136" spans="1:9" ht="31.5" x14ac:dyDescent="0.25">
      <c r="A136" s="82"/>
      <c r="B136" s="82"/>
      <c r="C136" s="21" t="s">
        <v>14</v>
      </c>
      <c r="D136" s="15">
        <f>D127+D128+D132+D133+D130</f>
        <v>10026.099999999999</v>
      </c>
      <c r="E136" s="15">
        <f t="shared" ref="E136:G136" si="21">E127+E128+E132+E133+E130</f>
        <v>10026.099999999999</v>
      </c>
      <c r="F136" s="15">
        <f t="shared" si="21"/>
        <v>1829.8000000000002</v>
      </c>
      <c r="G136" s="15">
        <f t="shared" si="21"/>
        <v>1829.8000000000002</v>
      </c>
      <c r="H136" s="53" t="s">
        <v>15</v>
      </c>
      <c r="I136" s="54">
        <f t="shared" si="19"/>
        <v>0.1825</v>
      </c>
    </row>
    <row r="137" spans="1:9" x14ac:dyDescent="0.25">
      <c r="A137" s="24">
        <v>5</v>
      </c>
      <c r="B137" s="30" t="s">
        <v>103</v>
      </c>
      <c r="C137" s="31"/>
      <c r="D137" s="31"/>
      <c r="E137" s="31"/>
      <c r="F137" s="31"/>
      <c r="G137" s="31"/>
      <c r="H137" s="31"/>
      <c r="I137" s="32"/>
    </row>
    <row r="138" spans="1:9" x14ac:dyDescent="0.25">
      <c r="A138" s="30" t="s">
        <v>104</v>
      </c>
      <c r="B138" s="31"/>
      <c r="C138" s="31"/>
      <c r="D138" s="31"/>
      <c r="E138" s="31"/>
      <c r="F138" s="31"/>
      <c r="G138" s="31"/>
      <c r="H138" s="31"/>
      <c r="I138" s="32"/>
    </row>
    <row r="139" spans="1:9" ht="78.75" x14ac:dyDescent="0.25">
      <c r="A139" s="83"/>
      <c r="B139" s="21" t="s">
        <v>39</v>
      </c>
      <c r="C139" s="21" t="s">
        <v>14</v>
      </c>
      <c r="D139" s="15">
        <v>113392</v>
      </c>
      <c r="E139" s="15">
        <v>113392</v>
      </c>
      <c r="F139" s="15">
        <v>75618.5</v>
      </c>
      <c r="G139" s="15">
        <v>75618.5</v>
      </c>
      <c r="H139" s="53" t="s">
        <v>15</v>
      </c>
      <c r="I139" s="54">
        <f t="shared" ref="I139:I145" si="22">ROUND(G139/E139,4)</f>
        <v>0.66690000000000005</v>
      </c>
    </row>
    <row r="140" spans="1:9" ht="78.75" x14ac:dyDescent="0.25">
      <c r="A140" s="83"/>
      <c r="B140" s="21" t="s">
        <v>40</v>
      </c>
      <c r="C140" s="21" t="s">
        <v>14</v>
      </c>
      <c r="D140" s="15">
        <v>859</v>
      </c>
      <c r="E140" s="15">
        <v>859</v>
      </c>
      <c r="F140" s="15">
        <v>14.4</v>
      </c>
      <c r="G140" s="15">
        <v>14.4</v>
      </c>
      <c r="H140" s="53" t="s">
        <v>15</v>
      </c>
      <c r="I140" s="54">
        <f t="shared" si="22"/>
        <v>1.6799999999999999E-2</v>
      </c>
    </row>
    <row r="141" spans="1:9" ht="78.75" x14ac:dyDescent="0.25">
      <c r="A141" s="83"/>
      <c r="B141" s="21" t="s">
        <v>41</v>
      </c>
      <c r="C141" s="21" t="s">
        <v>26</v>
      </c>
      <c r="D141" s="15">
        <v>7709.4</v>
      </c>
      <c r="E141" s="15">
        <v>7709.4</v>
      </c>
      <c r="F141" s="15">
        <v>4625.6000000000004</v>
      </c>
      <c r="G141" s="15">
        <v>4625.6000000000004</v>
      </c>
      <c r="H141" s="53" t="s">
        <v>15</v>
      </c>
      <c r="I141" s="54">
        <f t="shared" si="22"/>
        <v>0.6</v>
      </c>
    </row>
    <row r="142" spans="1:9" ht="78.75" x14ac:dyDescent="0.25">
      <c r="A142" s="83"/>
      <c r="B142" s="21" t="s">
        <v>105</v>
      </c>
      <c r="C142" s="21" t="s">
        <v>14</v>
      </c>
      <c r="D142" s="15">
        <v>2488.1999999999998</v>
      </c>
      <c r="E142" s="15">
        <v>2488.1999999999998</v>
      </c>
      <c r="F142" s="15">
        <v>1492.9</v>
      </c>
      <c r="G142" s="15">
        <v>1492.9</v>
      </c>
      <c r="H142" s="53" t="s">
        <v>15</v>
      </c>
      <c r="I142" s="54">
        <f t="shared" si="22"/>
        <v>0.6</v>
      </c>
    </row>
    <row r="143" spans="1:9" x14ac:dyDescent="0.25">
      <c r="A143" s="63"/>
      <c r="B143" s="43" t="s">
        <v>32</v>
      </c>
      <c r="C143" s="24" t="s">
        <v>33</v>
      </c>
      <c r="D143" s="25">
        <f>D144+D145</f>
        <v>124448.59999999999</v>
      </c>
      <c r="E143" s="25">
        <f>E144+E145</f>
        <v>124448.59999999999</v>
      </c>
      <c r="F143" s="25">
        <f>F144+F145</f>
        <v>81751.399999999994</v>
      </c>
      <c r="G143" s="25">
        <f>G144+G145</f>
        <v>81751.399999999994</v>
      </c>
      <c r="H143" s="53" t="s">
        <v>15</v>
      </c>
      <c r="I143" s="54">
        <f t="shared" si="22"/>
        <v>0.65690000000000004</v>
      </c>
    </row>
    <row r="144" spans="1:9" ht="31.5" x14ac:dyDescent="0.25">
      <c r="A144" s="64"/>
      <c r="B144" s="59"/>
      <c r="C144" s="21" t="s">
        <v>14</v>
      </c>
      <c r="D144" s="15">
        <f>D139+D140+D142</f>
        <v>116739.2</v>
      </c>
      <c r="E144" s="15">
        <f t="shared" ref="E144:G144" si="23">E139+E140+E142</f>
        <v>116739.2</v>
      </c>
      <c r="F144" s="15">
        <f t="shared" si="23"/>
        <v>77125.799999999988</v>
      </c>
      <c r="G144" s="15">
        <f t="shared" si="23"/>
        <v>77125.799999999988</v>
      </c>
      <c r="H144" s="53" t="s">
        <v>15</v>
      </c>
      <c r="I144" s="54">
        <f t="shared" si="22"/>
        <v>0.66069999999999995</v>
      </c>
    </row>
    <row r="145" spans="1:10" ht="47.25" x14ac:dyDescent="0.25">
      <c r="A145" s="64"/>
      <c r="B145" s="59"/>
      <c r="C145" s="21" t="s">
        <v>26</v>
      </c>
      <c r="D145" s="15">
        <f>D141</f>
        <v>7709.4</v>
      </c>
      <c r="E145" s="15">
        <f>E141</f>
        <v>7709.4</v>
      </c>
      <c r="F145" s="15">
        <f>F141</f>
        <v>4625.6000000000004</v>
      </c>
      <c r="G145" s="15">
        <f>G141</f>
        <v>4625.6000000000004</v>
      </c>
      <c r="H145" s="53" t="s">
        <v>15</v>
      </c>
      <c r="I145" s="54">
        <f t="shared" si="22"/>
        <v>0.6</v>
      </c>
    </row>
    <row r="146" spans="1:10" ht="15.75" customHeight="1" x14ac:dyDescent="0.25">
      <c r="A146" s="30" t="s">
        <v>106</v>
      </c>
      <c r="B146" s="31"/>
      <c r="C146" s="31"/>
      <c r="D146" s="31"/>
      <c r="E146" s="31"/>
      <c r="F146" s="31"/>
      <c r="G146" s="31"/>
      <c r="H146" s="31"/>
      <c r="I146" s="32"/>
    </row>
    <row r="147" spans="1:10" ht="78.75" x14ac:dyDescent="0.25">
      <c r="A147" s="81"/>
      <c r="B147" s="21" t="s">
        <v>39</v>
      </c>
      <c r="C147" s="21" t="s">
        <v>14</v>
      </c>
      <c r="D147" s="15">
        <v>69835.3</v>
      </c>
      <c r="E147" s="15">
        <v>69835.3</v>
      </c>
      <c r="F147" s="15">
        <v>40884.5</v>
      </c>
      <c r="G147" s="15">
        <v>40884.5</v>
      </c>
      <c r="H147" s="53" t="s">
        <v>15</v>
      </c>
      <c r="I147" s="54">
        <f t="shared" ref="I147:I158" si="24">ROUND(G147/E147,4)</f>
        <v>0.58540000000000003</v>
      </c>
    </row>
    <row r="148" spans="1:10" ht="78.75" x14ac:dyDescent="0.25">
      <c r="A148" s="81"/>
      <c r="B148" s="21" t="s">
        <v>40</v>
      </c>
      <c r="C148" s="21" t="s">
        <v>14</v>
      </c>
      <c r="D148" s="15">
        <v>500</v>
      </c>
      <c r="E148" s="15">
        <v>500</v>
      </c>
      <c r="F148" s="15">
        <v>152.9</v>
      </c>
      <c r="G148" s="15">
        <v>152.9</v>
      </c>
      <c r="H148" s="53" t="s">
        <v>15</v>
      </c>
      <c r="I148" s="54">
        <f t="shared" si="24"/>
        <v>0.30580000000000002</v>
      </c>
    </row>
    <row r="149" spans="1:10" ht="31.5" x14ac:dyDescent="0.25">
      <c r="A149" s="81"/>
      <c r="B149" s="21" t="s">
        <v>107</v>
      </c>
      <c r="C149" s="21" t="s">
        <v>14</v>
      </c>
      <c r="D149" s="15">
        <v>1000</v>
      </c>
      <c r="E149" s="15">
        <v>1000</v>
      </c>
      <c r="F149" s="15">
        <v>600</v>
      </c>
      <c r="G149" s="15">
        <v>600</v>
      </c>
      <c r="H149" s="53" t="s">
        <v>15</v>
      </c>
      <c r="I149" s="54">
        <f t="shared" si="24"/>
        <v>0.6</v>
      </c>
    </row>
    <row r="150" spans="1:10" ht="31.5" x14ac:dyDescent="0.25">
      <c r="A150" s="81"/>
      <c r="B150" s="21" t="s">
        <v>108</v>
      </c>
      <c r="C150" s="21" t="s">
        <v>14</v>
      </c>
      <c r="D150" s="15">
        <v>98.2</v>
      </c>
      <c r="E150" s="15">
        <v>98.2</v>
      </c>
      <c r="F150" s="15">
        <v>0</v>
      </c>
      <c r="G150" s="15">
        <v>0</v>
      </c>
      <c r="H150" s="53" t="s">
        <v>15</v>
      </c>
      <c r="I150" s="54">
        <f t="shared" si="24"/>
        <v>0</v>
      </c>
    </row>
    <row r="151" spans="1:10" ht="47.25" x14ac:dyDescent="0.25">
      <c r="A151" s="86"/>
      <c r="B151" s="19" t="s">
        <v>109</v>
      </c>
      <c r="C151" s="21" t="s">
        <v>14</v>
      </c>
      <c r="D151" s="15">
        <v>1000</v>
      </c>
      <c r="E151" s="15">
        <v>1000</v>
      </c>
      <c r="F151" s="15">
        <v>700</v>
      </c>
      <c r="G151" s="15">
        <v>700</v>
      </c>
      <c r="H151" s="53" t="s">
        <v>15</v>
      </c>
      <c r="I151" s="54">
        <f t="shared" si="24"/>
        <v>0.7</v>
      </c>
    </row>
    <row r="152" spans="1:10" ht="94.5" x14ac:dyDescent="0.25">
      <c r="A152" s="86"/>
      <c r="B152" s="19" t="s">
        <v>110</v>
      </c>
      <c r="C152" s="19" t="s">
        <v>26</v>
      </c>
      <c r="D152" s="18">
        <v>253.3</v>
      </c>
      <c r="E152" s="18">
        <v>253.3</v>
      </c>
      <c r="F152" s="18">
        <v>253.3</v>
      </c>
      <c r="G152" s="18">
        <v>136.1</v>
      </c>
      <c r="H152" s="53" t="s">
        <v>15</v>
      </c>
      <c r="I152" s="54">
        <f t="shared" si="24"/>
        <v>0.5373</v>
      </c>
    </row>
    <row r="153" spans="1:10" ht="94.5" x14ac:dyDescent="0.25">
      <c r="A153" s="86"/>
      <c r="B153" s="19" t="s">
        <v>111</v>
      </c>
      <c r="C153" s="21" t="s">
        <v>14</v>
      </c>
      <c r="D153" s="18">
        <v>81.7</v>
      </c>
      <c r="E153" s="18">
        <v>81.7</v>
      </c>
      <c r="F153" s="18">
        <v>81.7</v>
      </c>
      <c r="G153" s="18">
        <v>81.7</v>
      </c>
      <c r="H153" s="53" t="s">
        <v>15</v>
      </c>
      <c r="I153" s="54">
        <f t="shared" si="24"/>
        <v>1</v>
      </c>
    </row>
    <row r="154" spans="1:10" ht="78.75" x14ac:dyDescent="0.25">
      <c r="A154" s="86"/>
      <c r="B154" s="19" t="s">
        <v>39</v>
      </c>
      <c r="C154" s="21" t="s">
        <v>14</v>
      </c>
      <c r="D154" s="18">
        <v>64048.7</v>
      </c>
      <c r="E154" s="18">
        <v>64048.7</v>
      </c>
      <c r="F154" s="18">
        <v>32138.1</v>
      </c>
      <c r="G154" s="18">
        <v>32138.1</v>
      </c>
      <c r="H154" s="53" t="s">
        <v>15</v>
      </c>
      <c r="I154" s="54">
        <f t="shared" si="24"/>
        <v>0.50180000000000002</v>
      </c>
    </row>
    <row r="155" spans="1:10" ht="78.75" x14ac:dyDescent="0.25">
      <c r="A155" s="86"/>
      <c r="B155" s="19" t="s">
        <v>40</v>
      </c>
      <c r="C155" s="21" t="s">
        <v>14</v>
      </c>
      <c r="D155" s="18">
        <v>500</v>
      </c>
      <c r="E155" s="18">
        <v>500</v>
      </c>
      <c r="F155" s="18">
        <v>44</v>
      </c>
      <c r="G155" s="18">
        <v>44</v>
      </c>
      <c r="H155" s="53" t="s">
        <v>15</v>
      </c>
      <c r="I155" s="54">
        <f t="shared" si="24"/>
        <v>8.7999999999999995E-2</v>
      </c>
    </row>
    <row r="156" spans="1:10" x14ac:dyDescent="0.25">
      <c r="A156" s="63"/>
      <c r="B156" s="43" t="s">
        <v>32</v>
      </c>
      <c r="C156" s="24" t="s">
        <v>33</v>
      </c>
      <c r="D156" s="25">
        <f>D157+D158</f>
        <v>137317.19999999998</v>
      </c>
      <c r="E156" s="25">
        <f t="shared" ref="E156:G156" si="25">E157+E158</f>
        <v>137317.19999999998</v>
      </c>
      <c r="F156" s="25">
        <f t="shared" si="25"/>
        <v>74854.399999999994</v>
      </c>
      <c r="G156" s="25">
        <f t="shared" si="25"/>
        <v>74737.3</v>
      </c>
      <c r="H156" s="79" t="s">
        <v>15</v>
      </c>
      <c r="I156" s="80">
        <f t="shared" si="24"/>
        <v>0.54430000000000001</v>
      </c>
    </row>
    <row r="157" spans="1:10" ht="31.5" x14ac:dyDescent="0.25">
      <c r="A157" s="64"/>
      <c r="B157" s="59"/>
      <c r="C157" s="21" t="s">
        <v>14</v>
      </c>
      <c r="D157" s="15">
        <f>D147+D148+D149+D150+D151+D153+D154+D155</f>
        <v>137063.9</v>
      </c>
      <c r="E157" s="15">
        <f>E147+E148+E149+E150+E151+E153+E154+E155</f>
        <v>137063.9</v>
      </c>
      <c r="F157" s="15">
        <f>F147+F148+F149+F150+F151+F153+F154+F155-0.1</f>
        <v>74601.099999999991</v>
      </c>
      <c r="G157" s="15">
        <f>G147+G148+G149+G150+G151+G153+G154+G155</f>
        <v>74601.2</v>
      </c>
      <c r="H157" s="53" t="s">
        <v>15</v>
      </c>
      <c r="I157" s="54">
        <f t="shared" si="24"/>
        <v>0.54430000000000001</v>
      </c>
      <c r="J157" s="1" t="s">
        <v>112</v>
      </c>
    </row>
    <row r="158" spans="1:10" ht="47.25" x14ac:dyDescent="0.25">
      <c r="A158" s="82"/>
      <c r="B158" s="82"/>
      <c r="C158" s="21" t="s">
        <v>26</v>
      </c>
      <c r="D158" s="15">
        <f>D152</f>
        <v>253.3</v>
      </c>
      <c r="E158" s="15">
        <f>E152</f>
        <v>253.3</v>
      </c>
      <c r="F158" s="15">
        <f>F152</f>
        <v>253.3</v>
      </c>
      <c r="G158" s="15">
        <f>G152</f>
        <v>136.1</v>
      </c>
      <c r="H158" s="53" t="s">
        <v>15</v>
      </c>
      <c r="I158" s="54">
        <f t="shared" si="24"/>
        <v>0.5373</v>
      </c>
    </row>
    <row r="159" spans="1:10" ht="15.75" customHeight="1" x14ac:dyDescent="0.25">
      <c r="A159" s="30" t="s">
        <v>113</v>
      </c>
      <c r="B159" s="31"/>
      <c r="C159" s="31"/>
      <c r="D159" s="31"/>
      <c r="E159" s="31"/>
      <c r="F159" s="31"/>
      <c r="G159" s="31"/>
      <c r="H159" s="31"/>
      <c r="I159" s="32"/>
    </row>
    <row r="160" spans="1:10" ht="47.25" x14ac:dyDescent="0.25">
      <c r="A160" s="24"/>
      <c r="B160" s="21" t="s">
        <v>114</v>
      </c>
      <c r="C160" s="21" t="s">
        <v>14</v>
      </c>
      <c r="D160" s="18">
        <v>670</v>
      </c>
      <c r="E160" s="18">
        <v>670</v>
      </c>
      <c r="F160" s="18">
        <v>332.2</v>
      </c>
      <c r="G160" s="18">
        <v>332.2</v>
      </c>
      <c r="H160" s="53" t="s">
        <v>15</v>
      </c>
      <c r="I160" s="54">
        <f t="shared" ref="I160:I166" si="26">ROUND(G160/E160,4)</f>
        <v>0.49580000000000002</v>
      </c>
    </row>
    <row r="161" spans="1:10" ht="31.5" x14ac:dyDescent="0.25">
      <c r="A161" s="87"/>
      <c r="B161" s="19" t="s">
        <v>115</v>
      </c>
      <c r="C161" s="21" t="s">
        <v>14</v>
      </c>
      <c r="D161" s="18">
        <v>1388.4</v>
      </c>
      <c r="E161" s="18">
        <v>1388.4</v>
      </c>
      <c r="F161" s="18">
        <v>884.8</v>
      </c>
      <c r="G161" s="18">
        <v>884.8</v>
      </c>
      <c r="H161" s="53" t="s">
        <v>15</v>
      </c>
      <c r="I161" s="54">
        <f t="shared" si="26"/>
        <v>0.63729999999999998</v>
      </c>
    </row>
    <row r="162" spans="1:10" x14ac:dyDescent="0.25">
      <c r="A162" s="63"/>
      <c r="B162" s="43" t="s">
        <v>32</v>
      </c>
      <c r="C162" s="24" t="s">
        <v>33</v>
      </c>
      <c r="D162" s="25">
        <f>D163</f>
        <v>2058.4</v>
      </c>
      <c r="E162" s="25">
        <f t="shared" ref="E162:G162" si="27">E163</f>
        <v>2058.4</v>
      </c>
      <c r="F162" s="25">
        <f>F163</f>
        <v>1217.0999999999999</v>
      </c>
      <c r="G162" s="25">
        <f t="shared" si="27"/>
        <v>1217.0999999999999</v>
      </c>
      <c r="H162" s="53" t="s">
        <v>15</v>
      </c>
      <c r="I162" s="54">
        <f t="shared" si="26"/>
        <v>0.59130000000000005</v>
      </c>
    </row>
    <row r="163" spans="1:10" ht="31.5" x14ac:dyDescent="0.25">
      <c r="A163" s="64"/>
      <c r="B163" s="85"/>
      <c r="C163" s="21" t="str">
        <f>C161</f>
        <v>бюджет Кольского района</v>
      </c>
      <c r="D163" s="15">
        <f>D161+D160</f>
        <v>2058.4</v>
      </c>
      <c r="E163" s="15">
        <f t="shared" ref="E163" si="28">E161+E160</f>
        <v>2058.4</v>
      </c>
      <c r="F163" s="15">
        <f>F161+F160+0.1</f>
        <v>1217.0999999999999</v>
      </c>
      <c r="G163" s="15">
        <f>G161+G160+0.1</f>
        <v>1217.0999999999999</v>
      </c>
      <c r="H163" s="53" t="s">
        <v>15</v>
      </c>
      <c r="I163" s="54">
        <f t="shared" si="26"/>
        <v>0.59130000000000005</v>
      </c>
    </row>
    <row r="164" spans="1:10" x14ac:dyDescent="0.25">
      <c r="A164" s="63"/>
      <c r="B164" s="43" t="s">
        <v>77</v>
      </c>
      <c r="C164" s="24" t="s">
        <v>33</v>
      </c>
      <c r="D164" s="25">
        <f>D165+D166</f>
        <v>263824.19999999995</v>
      </c>
      <c r="E164" s="25">
        <f t="shared" ref="E164:F164" si="29">E165+E166</f>
        <v>263824.19999999995</v>
      </c>
      <c r="F164" s="25">
        <f t="shared" si="29"/>
        <v>157822.89999999997</v>
      </c>
      <c r="G164" s="25">
        <f>G165+G166-0.1</f>
        <v>157705.70000000001</v>
      </c>
      <c r="H164" s="53" t="s">
        <v>15</v>
      </c>
      <c r="I164" s="54">
        <f t="shared" si="26"/>
        <v>0.5978</v>
      </c>
    </row>
    <row r="165" spans="1:10" ht="31.5" x14ac:dyDescent="0.25">
      <c r="A165" s="64"/>
      <c r="B165" s="59"/>
      <c r="C165" s="21" t="s">
        <v>14</v>
      </c>
      <c r="D165" s="15">
        <f>D144+D157+D163</f>
        <v>255861.49999999997</v>
      </c>
      <c r="E165" s="15">
        <f>E144+E157+E163</f>
        <v>255861.49999999997</v>
      </c>
      <c r="F165" s="15">
        <f>F144+F157+F163</f>
        <v>152943.99999999997</v>
      </c>
      <c r="G165" s="15">
        <f>G144+G157+G163</f>
        <v>152944.1</v>
      </c>
      <c r="H165" s="53" t="s">
        <v>15</v>
      </c>
      <c r="I165" s="54">
        <f t="shared" si="26"/>
        <v>0.5978</v>
      </c>
    </row>
    <row r="166" spans="1:10" ht="47.25" x14ac:dyDescent="0.25">
      <c r="A166" s="64"/>
      <c r="B166" s="59"/>
      <c r="C166" s="21" t="s">
        <v>26</v>
      </c>
      <c r="D166" s="15">
        <f>D145+D158</f>
        <v>7962.7</v>
      </c>
      <c r="E166" s="15">
        <f>E145+E158</f>
        <v>7962.7</v>
      </c>
      <c r="F166" s="15">
        <f>F145+F158</f>
        <v>4878.9000000000005</v>
      </c>
      <c r="G166" s="15">
        <f>G145+G158</f>
        <v>4761.7000000000007</v>
      </c>
      <c r="H166" s="53" t="s">
        <v>15</v>
      </c>
      <c r="I166" s="54">
        <f t="shared" si="26"/>
        <v>0.59799999999999998</v>
      </c>
      <c r="J166" s="1" t="s">
        <v>112</v>
      </c>
    </row>
    <row r="167" spans="1:10" ht="15.75" customHeight="1" x14ac:dyDescent="0.25">
      <c r="A167" s="83">
        <v>6</v>
      </c>
      <c r="B167" s="30" t="s">
        <v>116</v>
      </c>
      <c r="C167" s="31"/>
      <c r="D167" s="31"/>
      <c r="E167" s="31"/>
      <c r="F167" s="31"/>
      <c r="G167" s="31"/>
      <c r="H167" s="31"/>
      <c r="I167" s="32"/>
    </row>
    <row r="168" spans="1:10" ht="47.25" x14ac:dyDescent="0.25">
      <c r="A168" s="83"/>
      <c r="B168" s="21" t="s">
        <v>117</v>
      </c>
      <c r="C168" s="21" t="s">
        <v>14</v>
      </c>
      <c r="D168" s="15">
        <f>2427.5+270</f>
        <v>2697.5</v>
      </c>
      <c r="E168" s="15">
        <f>2427.5+270</f>
        <v>2697.5</v>
      </c>
      <c r="F168" s="15">
        <v>235.8</v>
      </c>
      <c r="G168" s="15">
        <v>235.8</v>
      </c>
      <c r="H168" s="53" t="s">
        <v>15</v>
      </c>
      <c r="I168" s="54">
        <f>ROUND(G168/E168,4)</f>
        <v>8.7400000000000005E-2</v>
      </c>
    </row>
    <row r="169" spans="1:10" x14ac:dyDescent="0.25">
      <c r="A169" s="70"/>
      <c r="B169" s="42" t="s">
        <v>77</v>
      </c>
      <c r="C169" s="24" t="s">
        <v>33</v>
      </c>
      <c r="D169" s="25">
        <f>D170</f>
        <v>2697.5</v>
      </c>
      <c r="E169" s="25">
        <f>E170</f>
        <v>2697.5</v>
      </c>
      <c r="F169" s="25">
        <f>F170</f>
        <v>235.8</v>
      </c>
      <c r="G169" s="25">
        <f>G170</f>
        <v>235.8</v>
      </c>
      <c r="H169" s="53" t="s">
        <v>15</v>
      </c>
      <c r="I169" s="54">
        <f>ROUND(G169/E169,4)</f>
        <v>8.7400000000000005E-2</v>
      </c>
    </row>
    <row r="170" spans="1:10" ht="31.5" x14ac:dyDescent="0.25">
      <c r="A170" s="70"/>
      <c r="B170" s="73"/>
      <c r="C170" s="21" t="s">
        <v>14</v>
      </c>
      <c r="D170" s="15">
        <f>D168</f>
        <v>2697.5</v>
      </c>
      <c r="E170" s="15">
        <f>E168</f>
        <v>2697.5</v>
      </c>
      <c r="F170" s="15">
        <f>F168</f>
        <v>235.8</v>
      </c>
      <c r="G170" s="15">
        <f>G168</f>
        <v>235.8</v>
      </c>
      <c r="H170" s="53" t="s">
        <v>15</v>
      </c>
      <c r="I170" s="54">
        <f>ROUND(G170/E170,4)</f>
        <v>8.7400000000000005E-2</v>
      </c>
    </row>
    <row r="171" spans="1:10" ht="15.75" customHeight="1" x14ac:dyDescent="0.25">
      <c r="A171" s="83">
        <v>7</v>
      </c>
      <c r="B171" s="30" t="s">
        <v>118</v>
      </c>
      <c r="C171" s="31"/>
      <c r="D171" s="31"/>
      <c r="E171" s="31"/>
      <c r="F171" s="31"/>
      <c r="G171" s="31"/>
      <c r="H171" s="31"/>
      <c r="I171" s="32"/>
    </row>
    <row r="172" spans="1:10" ht="15.75" customHeight="1" x14ac:dyDescent="0.25">
      <c r="A172" s="88" t="s">
        <v>119</v>
      </c>
      <c r="B172" s="89"/>
      <c r="C172" s="89"/>
      <c r="D172" s="89"/>
      <c r="E172" s="89"/>
      <c r="F172" s="89"/>
      <c r="G172" s="89"/>
      <c r="H172" s="89"/>
      <c r="I172" s="90"/>
    </row>
    <row r="173" spans="1:10" ht="63" x14ac:dyDescent="0.25">
      <c r="A173" s="52"/>
      <c r="B173" s="21" t="s">
        <v>120</v>
      </c>
      <c r="C173" s="21" t="s">
        <v>14</v>
      </c>
      <c r="D173" s="15">
        <v>283.5</v>
      </c>
      <c r="E173" s="15">
        <v>283.5</v>
      </c>
      <c r="F173" s="15">
        <v>12.4</v>
      </c>
      <c r="G173" s="15">
        <v>12.4</v>
      </c>
      <c r="H173" s="53" t="s">
        <v>15</v>
      </c>
      <c r="I173" s="54">
        <f>ROUND(G173/E173,4)</f>
        <v>4.3700000000000003E-2</v>
      </c>
    </row>
    <row r="174" spans="1:10" s="6" customFormat="1" ht="31.5" x14ac:dyDescent="0.25">
      <c r="A174" s="91"/>
      <c r="B174" s="24" t="s">
        <v>32</v>
      </c>
      <c r="C174" s="24" t="s">
        <v>14</v>
      </c>
      <c r="D174" s="25">
        <f>D173</f>
        <v>283.5</v>
      </c>
      <c r="E174" s="25">
        <f>E173</f>
        <v>283.5</v>
      </c>
      <c r="F174" s="25">
        <f>F173</f>
        <v>12.4</v>
      </c>
      <c r="G174" s="25">
        <f>G173</f>
        <v>12.4</v>
      </c>
      <c r="H174" s="53" t="s">
        <v>15</v>
      </c>
      <c r="I174" s="54">
        <f>ROUND(G174/E174,4)</f>
        <v>4.3700000000000003E-2</v>
      </c>
    </row>
    <row r="175" spans="1:10" ht="15.75" customHeight="1" x14ac:dyDescent="0.25">
      <c r="A175" s="88" t="s">
        <v>121</v>
      </c>
      <c r="B175" s="89"/>
      <c r="C175" s="89"/>
      <c r="D175" s="89"/>
      <c r="E175" s="89"/>
      <c r="F175" s="89"/>
      <c r="G175" s="89"/>
      <c r="H175" s="89"/>
      <c r="I175" s="90"/>
    </row>
    <row r="176" spans="1:10" s="6" customFormat="1" ht="31.5" x14ac:dyDescent="0.25">
      <c r="A176" s="91"/>
      <c r="B176" s="21" t="s">
        <v>122</v>
      </c>
      <c r="C176" s="21" t="s">
        <v>14</v>
      </c>
      <c r="D176" s="15">
        <v>17106.900000000001</v>
      </c>
      <c r="E176" s="15">
        <v>17106.900000000001</v>
      </c>
      <c r="F176" s="15">
        <v>1164.4000000000001</v>
      </c>
      <c r="G176" s="15">
        <v>564.4</v>
      </c>
      <c r="H176" s="53" t="s">
        <v>15</v>
      </c>
      <c r="I176" s="54">
        <f t="shared" ref="I176:I187" si="30">ROUND(G176/E176,4)</f>
        <v>3.3000000000000002E-2</v>
      </c>
    </row>
    <row r="177" spans="1:9" s="6" customFormat="1" ht="78.75" x14ac:dyDescent="0.25">
      <c r="A177" s="91"/>
      <c r="B177" s="21" t="s">
        <v>123</v>
      </c>
      <c r="C177" s="21" t="s">
        <v>26</v>
      </c>
      <c r="D177" s="15">
        <v>10535.6</v>
      </c>
      <c r="E177" s="15">
        <v>10535.6</v>
      </c>
      <c r="F177" s="15">
        <v>0</v>
      </c>
      <c r="G177" s="15">
        <v>0</v>
      </c>
      <c r="H177" s="53" t="s">
        <v>15</v>
      </c>
      <c r="I177" s="54">
        <f t="shared" si="30"/>
        <v>0</v>
      </c>
    </row>
    <row r="178" spans="1:9" s="6" customFormat="1" ht="141.75" x14ac:dyDescent="0.25">
      <c r="A178" s="91"/>
      <c r="B178" s="21" t="s">
        <v>124</v>
      </c>
      <c r="C178" s="21" t="s">
        <v>26</v>
      </c>
      <c r="D178" s="15">
        <v>1206.0999999999999</v>
      </c>
      <c r="E178" s="15">
        <v>1206.0999999999999</v>
      </c>
      <c r="F178" s="15">
        <v>0</v>
      </c>
      <c r="G178" s="15">
        <v>0</v>
      </c>
      <c r="H178" s="53" t="s">
        <v>15</v>
      </c>
      <c r="I178" s="54">
        <f t="shared" si="30"/>
        <v>0</v>
      </c>
    </row>
    <row r="179" spans="1:9" s="6" customFormat="1" ht="94.5" x14ac:dyDescent="0.25">
      <c r="A179" s="91"/>
      <c r="B179" s="21" t="s">
        <v>125</v>
      </c>
      <c r="C179" s="21" t="s">
        <v>14</v>
      </c>
      <c r="D179" s="15">
        <v>3400.4</v>
      </c>
      <c r="E179" s="15">
        <v>3400.4</v>
      </c>
      <c r="F179" s="15">
        <v>0</v>
      </c>
      <c r="G179" s="15">
        <v>0</v>
      </c>
      <c r="H179" s="53">
        <v>0</v>
      </c>
      <c r="I179" s="54">
        <f t="shared" si="30"/>
        <v>0</v>
      </c>
    </row>
    <row r="180" spans="1:9" s="6" customFormat="1" ht="141.75" x14ac:dyDescent="0.25">
      <c r="A180" s="92"/>
      <c r="B180" s="19" t="s">
        <v>126</v>
      </c>
      <c r="C180" s="21" t="s">
        <v>14</v>
      </c>
      <c r="D180" s="15">
        <v>11438</v>
      </c>
      <c r="E180" s="15">
        <v>11438</v>
      </c>
      <c r="F180" s="15">
        <v>8337.7999999999993</v>
      </c>
      <c r="G180" s="15">
        <v>8337.7999999999993</v>
      </c>
      <c r="H180" s="53" t="s">
        <v>15</v>
      </c>
      <c r="I180" s="54">
        <f t="shared" si="30"/>
        <v>0.72899999999999998</v>
      </c>
    </row>
    <row r="181" spans="1:9" s="6" customFormat="1" ht="141.75" x14ac:dyDescent="0.25">
      <c r="A181" s="92"/>
      <c r="B181" s="19" t="s">
        <v>127</v>
      </c>
      <c r="C181" s="21" t="s">
        <v>14</v>
      </c>
      <c r="D181" s="15">
        <v>389.3</v>
      </c>
      <c r="E181" s="15">
        <v>389.3</v>
      </c>
      <c r="F181" s="15">
        <v>0</v>
      </c>
      <c r="G181" s="15">
        <v>0</v>
      </c>
      <c r="H181" s="53" t="s">
        <v>15</v>
      </c>
      <c r="I181" s="54">
        <f t="shared" si="30"/>
        <v>0</v>
      </c>
    </row>
    <row r="182" spans="1:9" s="6" customFormat="1" x14ac:dyDescent="0.25">
      <c r="A182" s="93"/>
      <c r="B182" s="43" t="s">
        <v>32</v>
      </c>
      <c r="C182" s="24" t="s">
        <v>128</v>
      </c>
      <c r="D182" s="25">
        <f>D184+D183</f>
        <v>44076.3</v>
      </c>
      <c r="E182" s="25">
        <f>E184+E183</f>
        <v>44076.3</v>
      </c>
      <c r="F182" s="25">
        <f>F184+F183</f>
        <v>9502.1999999999989</v>
      </c>
      <c r="G182" s="25">
        <f>G184+G183</f>
        <v>8902.1999999999989</v>
      </c>
      <c r="H182" s="53" t="s">
        <v>15</v>
      </c>
      <c r="I182" s="54">
        <f t="shared" si="30"/>
        <v>0.20200000000000001</v>
      </c>
    </row>
    <row r="183" spans="1:9" s="6" customFormat="1" ht="47.25" x14ac:dyDescent="0.25">
      <c r="A183" s="94"/>
      <c r="B183" s="85"/>
      <c r="C183" s="24" t="s">
        <v>26</v>
      </c>
      <c r="D183" s="15">
        <f>D177+D178</f>
        <v>11741.7</v>
      </c>
      <c r="E183" s="15">
        <f t="shared" ref="E183:G183" si="31">E177+E178</f>
        <v>11741.7</v>
      </c>
      <c r="F183" s="15">
        <f t="shared" si="31"/>
        <v>0</v>
      </c>
      <c r="G183" s="15">
        <f t="shared" si="31"/>
        <v>0</v>
      </c>
      <c r="H183" s="53" t="s">
        <v>15</v>
      </c>
      <c r="I183" s="54">
        <f t="shared" si="30"/>
        <v>0</v>
      </c>
    </row>
    <row r="184" spans="1:9" s="6" customFormat="1" ht="31.5" x14ac:dyDescent="0.25">
      <c r="A184" s="95"/>
      <c r="B184" s="96"/>
      <c r="C184" s="24" t="s">
        <v>14</v>
      </c>
      <c r="D184" s="15">
        <f>D176+D179+D180+D181</f>
        <v>32334.600000000002</v>
      </c>
      <c r="E184" s="15">
        <f>E176+E179+E180+E181</f>
        <v>32334.600000000002</v>
      </c>
      <c r="F184" s="15">
        <f t="shared" ref="F184:G184" si="32">F176+F179+F180+F181</f>
        <v>9502.1999999999989</v>
      </c>
      <c r="G184" s="15">
        <f t="shared" si="32"/>
        <v>8902.1999999999989</v>
      </c>
      <c r="H184" s="53" t="s">
        <v>15</v>
      </c>
      <c r="I184" s="54">
        <f t="shared" si="30"/>
        <v>0.27529999999999999</v>
      </c>
    </row>
    <row r="185" spans="1:9" x14ac:dyDescent="0.25">
      <c r="A185" s="70"/>
      <c r="B185" s="42" t="s">
        <v>77</v>
      </c>
      <c r="C185" s="24" t="s">
        <v>33</v>
      </c>
      <c r="D185" s="25">
        <f>D186+D187</f>
        <v>44359.8</v>
      </c>
      <c r="E185" s="25">
        <f>E186+E187</f>
        <v>44359.8</v>
      </c>
      <c r="F185" s="25">
        <f>F186+F187</f>
        <v>9514.5999999999985</v>
      </c>
      <c r="G185" s="25">
        <f>G186+G187</f>
        <v>8914.5999999999985</v>
      </c>
      <c r="H185" s="53" t="s">
        <v>15</v>
      </c>
      <c r="I185" s="54">
        <f t="shared" si="30"/>
        <v>0.20100000000000001</v>
      </c>
    </row>
    <row r="186" spans="1:9" ht="31.5" x14ac:dyDescent="0.25">
      <c r="A186" s="70"/>
      <c r="B186" s="73"/>
      <c r="C186" s="21" t="s">
        <v>14</v>
      </c>
      <c r="D186" s="15">
        <f t="shared" ref="D186:G186" si="33">D174+D184</f>
        <v>32618.100000000002</v>
      </c>
      <c r="E186" s="15">
        <f t="shared" si="33"/>
        <v>32618.100000000002</v>
      </c>
      <c r="F186" s="15">
        <f t="shared" si="33"/>
        <v>9514.5999999999985</v>
      </c>
      <c r="G186" s="15">
        <f t="shared" si="33"/>
        <v>8914.5999999999985</v>
      </c>
      <c r="H186" s="53" t="s">
        <v>15</v>
      </c>
      <c r="I186" s="54">
        <f t="shared" si="30"/>
        <v>0.27329999999999999</v>
      </c>
    </row>
    <row r="187" spans="1:9" ht="47.25" x14ac:dyDescent="0.25">
      <c r="A187" s="70"/>
      <c r="B187" s="73"/>
      <c r="C187" s="21" t="s">
        <v>26</v>
      </c>
      <c r="D187" s="15">
        <f>D183</f>
        <v>11741.7</v>
      </c>
      <c r="E187" s="15">
        <f>E183</f>
        <v>11741.7</v>
      </c>
      <c r="F187" s="15">
        <f>F183</f>
        <v>0</v>
      </c>
      <c r="G187" s="15">
        <f>G183</f>
        <v>0</v>
      </c>
      <c r="H187" s="53" t="s">
        <v>15</v>
      </c>
      <c r="I187" s="54">
        <f t="shared" si="30"/>
        <v>0</v>
      </c>
    </row>
    <row r="188" spans="1:9" x14ac:dyDescent="0.25">
      <c r="A188" s="83">
        <v>8</v>
      </c>
      <c r="B188" s="97" t="s">
        <v>129</v>
      </c>
      <c r="C188" s="98"/>
      <c r="D188" s="98"/>
      <c r="E188" s="98"/>
      <c r="F188" s="98"/>
      <c r="G188" s="98"/>
      <c r="H188" s="98"/>
      <c r="I188" s="99"/>
    </row>
    <row r="189" spans="1:9" x14ac:dyDescent="0.25">
      <c r="A189" s="97" t="s">
        <v>130</v>
      </c>
      <c r="B189" s="98"/>
      <c r="C189" s="98"/>
      <c r="D189" s="98"/>
      <c r="E189" s="98"/>
      <c r="F189" s="98"/>
      <c r="G189" s="98"/>
      <c r="H189" s="98"/>
      <c r="I189" s="99"/>
    </row>
    <row r="190" spans="1:9" ht="63" x14ac:dyDescent="0.25">
      <c r="A190" s="100"/>
      <c r="B190" s="21" t="s">
        <v>131</v>
      </c>
      <c r="C190" s="21" t="s">
        <v>14</v>
      </c>
      <c r="D190" s="15">
        <v>2930</v>
      </c>
      <c r="E190" s="15">
        <v>2930</v>
      </c>
      <c r="F190" s="15">
        <v>1000</v>
      </c>
      <c r="G190" s="15">
        <v>1000</v>
      </c>
      <c r="H190" s="53" t="s">
        <v>15</v>
      </c>
      <c r="I190" s="54">
        <f>ROUND(G190/E190,4)</f>
        <v>0.34129999999999999</v>
      </c>
    </row>
    <row r="191" spans="1:9" x14ac:dyDescent="0.25">
      <c r="A191" s="63"/>
      <c r="B191" s="43" t="s">
        <v>32</v>
      </c>
      <c r="C191" s="24" t="s">
        <v>33</v>
      </c>
      <c r="D191" s="25">
        <f>D192</f>
        <v>2930</v>
      </c>
      <c r="E191" s="25">
        <f>E192</f>
        <v>2930</v>
      </c>
      <c r="F191" s="25">
        <f>F192</f>
        <v>1000</v>
      </c>
      <c r="G191" s="25">
        <f>G192</f>
        <v>1000</v>
      </c>
      <c r="H191" s="53" t="s">
        <v>15</v>
      </c>
      <c r="I191" s="54">
        <f>ROUND(G191/E191,4)</f>
        <v>0.34129999999999999</v>
      </c>
    </row>
    <row r="192" spans="1:9" ht="31.5" x14ac:dyDescent="0.25">
      <c r="A192" s="64"/>
      <c r="B192" s="59"/>
      <c r="C192" s="21" t="s">
        <v>14</v>
      </c>
      <c r="D192" s="15">
        <f>D190</f>
        <v>2930</v>
      </c>
      <c r="E192" s="15">
        <f>E190</f>
        <v>2930</v>
      </c>
      <c r="F192" s="15">
        <f>F190</f>
        <v>1000</v>
      </c>
      <c r="G192" s="15">
        <f>G190</f>
        <v>1000</v>
      </c>
      <c r="H192" s="53" t="s">
        <v>15</v>
      </c>
      <c r="I192" s="54">
        <f>ROUND(G192/E192,4)</f>
        <v>0.34129999999999999</v>
      </c>
    </row>
    <row r="193" spans="1:9" s="3" customFormat="1" ht="15.75" customHeight="1" x14ac:dyDescent="0.25">
      <c r="A193" s="97" t="s">
        <v>132</v>
      </c>
      <c r="B193" s="98"/>
      <c r="C193" s="98"/>
      <c r="D193" s="98"/>
      <c r="E193" s="98"/>
      <c r="F193" s="98"/>
      <c r="G193" s="98"/>
      <c r="H193" s="98"/>
      <c r="I193" s="99"/>
    </row>
    <row r="194" spans="1:9" s="3" customFormat="1" ht="31.5" x14ac:dyDescent="0.25">
      <c r="A194" s="81"/>
      <c r="B194" s="21" t="s">
        <v>133</v>
      </c>
      <c r="C194" s="21" t="s">
        <v>14</v>
      </c>
      <c r="D194" s="15">
        <v>300</v>
      </c>
      <c r="E194" s="15">
        <v>300</v>
      </c>
      <c r="F194" s="15">
        <v>300</v>
      </c>
      <c r="G194" s="15">
        <v>300</v>
      </c>
      <c r="H194" s="53" t="s">
        <v>15</v>
      </c>
      <c r="I194" s="54">
        <f>ROUND(G194/E194,4)</f>
        <v>1</v>
      </c>
    </row>
    <row r="195" spans="1:9" s="3" customFormat="1" ht="173.25" x14ac:dyDescent="0.25">
      <c r="A195" s="81"/>
      <c r="B195" s="21" t="s">
        <v>134</v>
      </c>
      <c r="C195" s="21" t="s">
        <v>14</v>
      </c>
      <c r="D195" s="15">
        <v>200</v>
      </c>
      <c r="E195" s="15">
        <v>200</v>
      </c>
      <c r="F195" s="15">
        <v>200</v>
      </c>
      <c r="G195" s="15">
        <v>200</v>
      </c>
      <c r="H195" s="53" t="s">
        <v>15</v>
      </c>
      <c r="I195" s="54">
        <f>ROUND(G195/E195,4)</f>
        <v>1</v>
      </c>
    </row>
    <row r="196" spans="1:9" s="3" customFormat="1" ht="173.25" x14ac:dyDescent="0.25">
      <c r="A196" s="81"/>
      <c r="B196" s="21" t="s">
        <v>135</v>
      </c>
      <c r="C196" s="21" t="s">
        <v>14</v>
      </c>
      <c r="D196" s="15">
        <v>500</v>
      </c>
      <c r="E196" s="15">
        <v>500</v>
      </c>
      <c r="F196" s="15">
        <v>250</v>
      </c>
      <c r="G196" s="15">
        <v>250</v>
      </c>
      <c r="H196" s="53" t="s">
        <v>15</v>
      </c>
      <c r="I196" s="54">
        <f>ROUND(G196/E196,4)</f>
        <v>0.5</v>
      </c>
    </row>
    <row r="197" spans="1:9" s="3" customFormat="1" x14ac:dyDescent="0.25">
      <c r="A197" s="70"/>
      <c r="B197" s="42" t="s">
        <v>32</v>
      </c>
      <c r="C197" s="101" t="s">
        <v>33</v>
      </c>
      <c r="D197" s="102">
        <f>D198</f>
        <v>1000</v>
      </c>
      <c r="E197" s="102">
        <f>E198</f>
        <v>1000</v>
      </c>
      <c r="F197" s="102">
        <f>F198</f>
        <v>750</v>
      </c>
      <c r="G197" s="102">
        <f>G198</f>
        <v>750</v>
      </c>
      <c r="H197" s="53" t="s">
        <v>15</v>
      </c>
      <c r="I197" s="54">
        <f>ROUND(G197/E197,4)</f>
        <v>0.75</v>
      </c>
    </row>
    <row r="198" spans="1:9" s="3" customFormat="1" ht="31.5" x14ac:dyDescent="0.25">
      <c r="A198" s="73"/>
      <c r="B198" s="73"/>
      <c r="C198" s="21" t="s">
        <v>14</v>
      </c>
      <c r="D198" s="15">
        <f>D194+D195+D196</f>
        <v>1000</v>
      </c>
      <c r="E198" s="15">
        <f>E194+E195+E196</f>
        <v>1000</v>
      </c>
      <c r="F198" s="15">
        <f>F194+F195+F196</f>
        <v>750</v>
      </c>
      <c r="G198" s="15">
        <f>G194+G195+G196</f>
        <v>750</v>
      </c>
      <c r="H198" s="53" t="s">
        <v>15</v>
      </c>
      <c r="I198" s="54">
        <f>ROUND(G198/E198,4)</f>
        <v>0.75</v>
      </c>
    </row>
    <row r="199" spans="1:9" s="3" customFormat="1" x14ac:dyDescent="0.25">
      <c r="A199" s="81"/>
      <c r="B199" s="97" t="s">
        <v>136</v>
      </c>
      <c r="C199" s="98"/>
      <c r="D199" s="98"/>
      <c r="E199" s="98"/>
      <c r="F199" s="98"/>
      <c r="G199" s="98"/>
      <c r="H199" s="98"/>
      <c r="I199" s="99"/>
    </row>
    <row r="200" spans="1:9" s="3" customFormat="1" ht="31.5" x14ac:dyDescent="0.25">
      <c r="A200" s="81"/>
      <c r="B200" s="21" t="s">
        <v>137</v>
      </c>
      <c r="C200" s="21" t="s">
        <v>14</v>
      </c>
      <c r="D200" s="15">
        <v>30</v>
      </c>
      <c r="E200" s="15">
        <v>30</v>
      </c>
      <c r="F200" s="15">
        <v>0</v>
      </c>
      <c r="G200" s="15">
        <v>0</v>
      </c>
      <c r="H200" s="53" t="s">
        <v>15</v>
      </c>
      <c r="I200" s="54">
        <f t="shared" ref="I200:I205" si="34">ROUND(G200/E200,4)</f>
        <v>0</v>
      </c>
    </row>
    <row r="201" spans="1:9" s="3" customFormat="1" ht="31.5" x14ac:dyDescent="0.25">
      <c r="A201" s="81"/>
      <c r="B201" s="21" t="s">
        <v>138</v>
      </c>
      <c r="C201" s="21" t="s">
        <v>14</v>
      </c>
      <c r="D201" s="15">
        <v>20</v>
      </c>
      <c r="E201" s="15">
        <v>20</v>
      </c>
      <c r="F201" s="15">
        <v>20</v>
      </c>
      <c r="G201" s="15">
        <v>20</v>
      </c>
      <c r="H201" s="53" t="s">
        <v>15</v>
      </c>
      <c r="I201" s="54">
        <f t="shared" si="34"/>
        <v>1</v>
      </c>
    </row>
    <row r="202" spans="1:9" s="3" customFormat="1" x14ac:dyDescent="0.25">
      <c r="A202" s="70"/>
      <c r="B202" s="42" t="s">
        <v>32</v>
      </c>
      <c r="C202" s="101" t="s">
        <v>33</v>
      </c>
      <c r="D202" s="102">
        <f>D203</f>
        <v>50</v>
      </c>
      <c r="E202" s="102">
        <f>E203</f>
        <v>50</v>
      </c>
      <c r="F202" s="102">
        <f>F203</f>
        <v>20</v>
      </c>
      <c r="G202" s="102">
        <f>G203</f>
        <v>20</v>
      </c>
      <c r="H202" s="79" t="s">
        <v>15</v>
      </c>
      <c r="I202" s="80">
        <f t="shared" si="34"/>
        <v>0.4</v>
      </c>
    </row>
    <row r="203" spans="1:9" s="3" customFormat="1" ht="31.5" x14ac:dyDescent="0.25">
      <c r="A203" s="73"/>
      <c r="B203" s="73"/>
      <c r="C203" s="21" t="s">
        <v>14</v>
      </c>
      <c r="D203" s="15">
        <f>D200+D201</f>
        <v>50</v>
      </c>
      <c r="E203" s="15">
        <f>E200+E201</f>
        <v>50</v>
      </c>
      <c r="F203" s="15">
        <f>F200+F201</f>
        <v>20</v>
      </c>
      <c r="G203" s="15">
        <f>G200+G201</f>
        <v>20</v>
      </c>
      <c r="H203" s="53" t="s">
        <v>15</v>
      </c>
      <c r="I203" s="54">
        <f t="shared" si="34"/>
        <v>0.4</v>
      </c>
    </row>
    <row r="204" spans="1:9" s="3" customFormat="1" x14ac:dyDescent="0.25">
      <c r="A204" s="57"/>
      <c r="B204" s="43" t="s">
        <v>77</v>
      </c>
      <c r="C204" s="101" t="s">
        <v>33</v>
      </c>
      <c r="D204" s="102">
        <f>D205</f>
        <v>3980</v>
      </c>
      <c r="E204" s="102">
        <f t="shared" ref="E204:G204" si="35">E205</f>
        <v>3980</v>
      </c>
      <c r="F204" s="102">
        <f t="shared" si="35"/>
        <v>1770</v>
      </c>
      <c r="G204" s="102">
        <f t="shared" si="35"/>
        <v>1770</v>
      </c>
      <c r="H204" s="79" t="s">
        <v>15</v>
      </c>
      <c r="I204" s="80">
        <f t="shared" si="34"/>
        <v>0.44469999999999998</v>
      </c>
    </row>
    <row r="205" spans="1:9" s="3" customFormat="1" ht="31.5" x14ac:dyDescent="0.25">
      <c r="A205" s="96"/>
      <c r="B205" s="103"/>
      <c r="C205" s="21" t="s">
        <v>14</v>
      </c>
      <c r="D205" s="15">
        <f>D192+D198+D203</f>
        <v>3980</v>
      </c>
      <c r="E205" s="15">
        <f t="shared" ref="E205:G205" si="36">E192+E198+E203</f>
        <v>3980</v>
      </c>
      <c r="F205" s="15">
        <f t="shared" si="36"/>
        <v>1770</v>
      </c>
      <c r="G205" s="15">
        <f t="shared" si="36"/>
        <v>1770</v>
      </c>
      <c r="H205" s="53" t="s">
        <v>15</v>
      </c>
      <c r="I205" s="54">
        <f t="shared" si="34"/>
        <v>0.44469999999999998</v>
      </c>
    </row>
    <row r="206" spans="1:9" x14ac:dyDescent="0.25">
      <c r="A206" s="83">
        <v>9</v>
      </c>
      <c r="B206" s="30" t="s">
        <v>139</v>
      </c>
      <c r="C206" s="31"/>
      <c r="D206" s="31"/>
      <c r="E206" s="31"/>
      <c r="F206" s="31"/>
      <c r="G206" s="31"/>
      <c r="H206" s="31"/>
      <c r="I206" s="32"/>
    </row>
    <row r="207" spans="1:9" x14ac:dyDescent="0.25">
      <c r="A207" s="83"/>
      <c r="B207" s="30" t="s">
        <v>140</v>
      </c>
      <c r="C207" s="31"/>
      <c r="D207" s="31"/>
      <c r="E207" s="31"/>
      <c r="F207" s="31"/>
      <c r="G207" s="31"/>
      <c r="H207" s="31"/>
      <c r="I207" s="32"/>
    </row>
    <row r="208" spans="1:9" ht="31.5" x14ac:dyDescent="0.25">
      <c r="A208" s="84"/>
      <c r="B208" s="19" t="s">
        <v>141</v>
      </c>
      <c r="C208" s="21" t="s">
        <v>297</v>
      </c>
      <c r="D208" s="15">
        <v>555.70000000000005</v>
      </c>
      <c r="E208" s="15">
        <v>555.70000000000005</v>
      </c>
      <c r="F208" s="15">
        <v>0.9</v>
      </c>
      <c r="G208" s="15">
        <v>0.7</v>
      </c>
      <c r="H208" s="53" t="s">
        <v>15</v>
      </c>
      <c r="I208" s="54">
        <f t="shared" ref="I208:I216" si="37">ROUND(G208/E208,4)</f>
        <v>1.2999999999999999E-3</v>
      </c>
    </row>
    <row r="209" spans="1:9" ht="110.25" x14ac:dyDescent="0.25">
      <c r="A209" s="84"/>
      <c r="B209" s="19" t="s">
        <v>142</v>
      </c>
      <c r="C209" s="21" t="s">
        <v>297</v>
      </c>
      <c r="D209" s="15">
        <v>430</v>
      </c>
      <c r="E209" s="15">
        <v>430</v>
      </c>
      <c r="F209" s="15">
        <v>320</v>
      </c>
      <c r="G209" s="15">
        <v>255.3</v>
      </c>
      <c r="H209" s="53" t="s">
        <v>15</v>
      </c>
      <c r="I209" s="54">
        <f t="shared" si="37"/>
        <v>0.59370000000000001</v>
      </c>
    </row>
    <row r="210" spans="1:9" ht="78.75" x14ac:dyDescent="0.25">
      <c r="A210" s="84"/>
      <c r="B210" s="19" t="s">
        <v>143</v>
      </c>
      <c r="C210" s="21" t="s">
        <v>297</v>
      </c>
      <c r="D210" s="15">
        <v>2652</v>
      </c>
      <c r="E210" s="15">
        <v>2652</v>
      </c>
      <c r="F210" s="15">
        <v>1485.2</v>
      </c>
      <c r="G210" s="15">
        <v>1382.1000000000001</v>
      </c>
      <c r="H210" s="53" t="s">
        <v>15</v>
      </c>
      <c r="I210" s="54">
        <f t="shared" si="37"/>
        <v>0.5212</v>
      </c>
    </row>
    <row r="211" spans="1:9" ht="47.25" x14ac:dyDescent="0.25">
      <c r="A211" s="84"/>
      <c r="B211" s="19" t="s">
        <v>144</v>
      </c>
      <c r="C211" s="21" t="s">
        <v>297</v>
      </c>
      <c r="D211" s="15">
        <v>70</v>
      </c>
      <c r="E211" s="15">
        <v>70</v>
      </c>
      <c r="F211" s="15">
        <v>0</v>
      </c>
      <c r="G211" s="15">
        <v>0</v>
      </c>
      <c r="H211" s="53" t="s">
        <v>15</v>
      </c>
      <c r="I211" s="54">
        <f t="shared" si="37"/>
        <v>0</v>
      </c>
    </row>
    <row r="212" spans="1:9" ht="31.5" x14ac:dyDescent="0.25">
      <c r="A212" s="84"/>
      <c r="B212" s="19" t="s">
        <v>145</v>
      </c>
      <c r="C212" s="21" t="s">
        <v>297</v>
      </c>
      <c r="D212" s="15">
        <v>215.8</v>
      </c>
      <c r="E212" s="15">
        <v>215.8</v>
      </c>
      <c r="F212" s="15">
        <v>183.3</v>
      </c>
      <c r="G212" s="15">
        <v>183.3</v>
      </c>
      <c r="H212" s="53" t="s">
        <v>15</v>
      </c>
      <c r="I212" s="54">
        <f t="shared" si="37"/>
        <v>0.84940000000000004</v>
      </c>
    </row>
    <row r="213" spans="1:9" ht="47.25" x14ac:dyDescent="0.25">
      <c r="A213" s="84"/>
      <c r="B213" s="19" t="s">
        <v>146</v>
      </c>
      <c r="C213" s="21" t="s">
        <v>297</v>
      </c>
      <c r="D213" s="15">
        <v>200</v>
      </c>
      <c r="E213" s="15">
        <v>200</v>
      </c>
      <c r="F213" s="15">
        <v>18.600000000000001</v>
      </c>
      <c r="G213" s="15">
        <v>18.600000000000001</v>
      </c>
      <c r="H213" s="53" t="s">
        <v>15</v>
      </c>
      <c r="I213" s="54">
        <f t="shared" si="37"/>
        <v>9.2999999999999999E-2</v>
      </c>
    </row>
    <row r="214" spans="1:9" ht="78.75" x14ac:dyDescent="0.25">
      <c r="A214" s="84"/>
      <c r="B214" s="19" t="s">
        <v>147</v>
      </c>
      <c r="C214" s="21" t="s">
        <v>297</v>
      </c>
      <c r="D214" s="15">
        <v>6798.5</v>
      </c>
      <c r="E214" s="15">
        <v>6798.5</v>
      </c>
      <c r="F214" s="15">
        <v>0</v>
      </c>
      <c r="G214" s="15">
        <v>0</v>
      </c>
      <c r="H214" s="53"/>
      <c r="I214" s="54"/>
    </row>
    <row r="215" spans="1:9" x14ac:dyDescent="0.25">
      <c r="A215" s="63"/>
      <c r="B215" s="43" t="s">
        <v>32</v>
      </c>
      <c r="C215" s="24" t="s">
        <v>33</v>
      </c>
      <c r="D215" s="25">
        <f>D216</f>
        <v>10922</v>
      </c>
      <c r="E215" s="25">
        <f>E216</f>
        <v>10922</v>
      </c>
      <c r="F215" s="25">
        <f>F216</f>
        <v>2007.9999999999998</v>
      </c>
      <c r="G215" s="25">
        <f>G216</f>
        <v>1840</v>
      </c>
      <c r="H215" s="53" t="s">
        <v>15</v>
      </c>
      <c r="I215" s="54">
        <f t="shared" si="37"/>
        <v>0.16850000000000001</v>
      </c>
    </row>
    <row r="216" spans="1:9" ht="31.5" x14ac:dyDescent="0.25">
      <c r="A216" s="64"/>
      <c r="B216" s="46"/>
      <c r="C216" s="21" t="s">
        <v>14</v>
      </c>
      <c r="D216" s="15">
        <f>SUM(D208:D214)</f>
        <v>10922</v>
      </c>
      <c r="E216" s="15">
        <f t="shared" ref="E216:G216" si="38">SUM(E208:E214)</f>
        <v>10922</v>
      </c>
      <c r="F216" s="15">
        <f>SUM(F208:F214)</f>
        <v>2007.9999999999998</v>
      </c>
      <c r="G216" s="15">
        <f t="shared" si="38"/>
        <v>1840</v>
      </c>
      <c r="H216" s="53" t="s">
        <v>15</v>
      </c>
      <c r="I216" s="54">
        <f t="shared" si="37"/>
        <v>0.16850000000000001</v>
      </c>
    </row>
    <row r="217" spans="1:9" ht="15.75" customHeight="1" x14ac:dyDescent="0.25">
      <c r="A217" s="30" t="s">
        <v>148</v>
      </c>
      <c r="B217" s="31"/>
      <c r="C217" s="31"/>
      <c r="D217" s="31"/>
      <c r="E217" s="31"/>
      <c r="F217" s="31"/>
      <c r="G217" s="31"/>
      <c r="H217" s="31"/>
      <c r="I217" s="32"/>
    </row>
    <row r="218" spans="1:9" ht="47.25" x14ac:dyDescent="0.25">
      <c r="A218" s="104"/>
      <c r="B218" s="20" t="s">
        <v>149</v>
      </c>
      <c r="C218" s="21" t="s">
        <v>26</v>
      </c>
      <c r="D218" s="17">
        <v>99860.5</v>
      </c>
      <c r="E218" s="17">
        <v>99860.5</v>
      </c>
      <c r="F218" s="17">
        <v>54948</v>
      </c>
      <c r="G218" s="17">
        <v>54948</v>
      </c>
      <c r="H218" s="53" t="s">
        <v>15</v>
      </c>
      <c r="I218" s="54">
        <f t="shared" ref="I218:I227" si="39">ROUND(G218/E218,4)</f>
        <v>0.55020000000000002</v>
      </c>
    </row>
    <row r="219" spans="1:9" ht="31.5" x14ac:dyDescent="0.25">
      <c r="A219" s="104"/>
      <c r="B219" s="20" t="s">
        <v>149</v>
      </c>
      <c r="C219" s="21" t="s">
        <v>14</v>
      </c>
      <c r="D219" s="17">
        <v>23794.1</v>
      </c>
      <c r="E219" s="17">
        <v>23794.1</v>
      </c>
      <c r="F219" s="17">
        <v>13679.3</v>
      </c>
      <c r="G219" s="17">
        <v>13679.3</v>
      </c>
      <c r="H219" s="53" t="s">
        <v>15</v>
      </c>
      <c r="I219" s="54">
        <f t="shared" si="39"/>
        <v>0.57489999999999997</v>
      </c>
    </row>
    <row r="220" spans="1:9" ht="47.25" x14ac:dyDescent="0.25">
      <c r="A220" s="105"/>
      <c r="B220" s="21" t="s">
        <v>150</v>
      </c>
      <c r="C220" s="21" t="s">
        <v>26</v>
      </c>
      <c r="D220" s="17">
        <v>38720.5</v>
      </c>
      <c r="E220" s="17">
        <v>38720.5</v>
      </c>
      <c r="F220" s="17">
        <v>20208.2</v>
      </c>
      <c r="G220" s="17">
        <v>20208.2</v>
      </c>
      <c r="H220" s="53" t="s">
        <v>15</v>
      </c>
      <c r="I220" s="54">
        <f t="shared" si="39"/>
        <v>0.52190000000000003</v>
      </c>
    </row>
    <row r="221" spans="1:9" ht="31.5" x14ac:dyDescent="0.25">
      <c r="A221" s="105"/>
      <c r="B221" s="21" t="s">
        <v>150</v>
      </c>
      <c r="C221" s="21" t="s">
        <v>14</v>
      </c>
      <c r="D221" s="17">
        <v>86100.5</v>
      </c>
      <c r="E221" s="17">
        <v>86100.5</v>
      </c>
      <c r="F221" s="17">
        <v>37508.5</v>
      </c>
      <c r="G221" s="17">
        <v>37508.5</v>
      </c>
      <c r="H221" s="53" t="s">
        <v>15</v>
      </c>
      <c r="I221" s="54">
        <f t="shared" si="39"/>
        <v>0.43559999999999999</v>
      </c>
    </row>
    <row r="222" spans="1:9" x14ac:dyDescent="0.25">
      <c r="A222" s="63"/>
      <c r="B222" s="43" t="s">
        <v>32</v>
      </c>
      <c r="C222" s="24" t="s">
        <v>33</v>
      </c>
      <c r="D222" s="25">
        <f>D223+D224</f>
        <v>248475.6</v>
      </c>
      <c r="E222" s="25">
        <f>E223+E224</f>
        <v>248475.6</v>
      </c>
      <c r="F222" s="25">
        <f>F223+F224</f>
        <v>126344</v>
      </c>
      <c r="G222" s="25">
        <f>G223+G224</f>
        <v>126344</v>
      </c>
      <c r="H222" s="79" t="s">
        <v>15</v>
      </c>
      <c r="I222" s="80">
        <f t="shared" si="39"/>
        <v>0.50849999999999995</v>
      </c>
    </row>
    <row r="223" spans="1:9" ht="31.5" x14ac:dyDescent="0.25">
      <c r="A223" s="64"/>
      <c r="B223" s="59"/>
      <c r="C223" s="21" t="s">
        <v>14</v>
      </c>
      <c r="D223" s="15">
        <f>D219+D221</f>
        <v>109894.6</v>
      </c>
      <c r="E223" s="15">
        <f t="shared" ref="E223:G223" si="40">E219+E221</f>
        <v>109894.6</v>
      </c>
      <c r="F223" s="15">
        <f t="shared" si="40"/>
        <v>51187.8</v>
      </c>
      <c r="G223" s="15">
        <f t="shared" si="40"/>
        <v>51187.8</v>
      </c>
      <c r="H223" s="53" t="s">
        <v>15</v>
      </c>
      <c r="I223" s="54">
        <f t="shared" si="39"/>
        <v>0.46579999999999999</v>
      </c>
    </row>
    <row r="224" spans="1:9" ht="47.25" x14ac:dyDescent="0.25">
      <c r="A224" s="64"/>
      <c r="B224" s="59"/>
      <c r="C224" s="21" t="s">
        <v>26</v>
      </c>
      <c r="D224" s="15">
        <f>D218+D220</f>
        <v>138581</v>
      </c>
      <c r="E224" s="15">
        <f t="shared" ref="E224:G224" si="41">E218+E220</f>
        <v>138581</v>
      </c>
      <c r="F224" s="15">
        <f t="shared" si="41"/>
        <v>75156.2</v>
      </c>
      <c r="G224" s="15">
        <f t="shared" si="41"/>
        <v>75156.2</v>
      </c>
      <c r="H224" s="53" t="s">
        <v>15</v>
      </c>
      <c r="I224" s="54">
        <f t="shared" si="39"/>
        <v>0.5423</v>
      </c>
    </row>
    <row r="225" spans="1:9" ht="31.5" x14ac:dyDescent="0.25">
      <c r="A225" s="106"/>
      <c r="B225" s="43" t="s">
        <v>77</v>
      </c>
      <c r="C225" s="24" t="s">
        <v>151</v>
      </c>
      <c r="D225" s="25">
        <f>D226+D227</f>
        <v>259397.6</v>
      </c>
      <c r="E225" s="25">
        <f>E226+E227</f>
        <v>259397.6</v>
      </c>
      <c r="F225" s="25">
        <f>F226+F227-0.1</f>
        <v>128352</v>
      </c>
      <c r="G225" s="25">
        <f>G226+G227-0.1</f>
        <v>128184</v>
      </c>
      <c r="H225" s="79" t="s">
        <v>15</v>
      </c>
      <c r="I225" s="80">
        <f t="shared" si="39"/>
        <v>0.49419999999999997</v>
      </c>
    </row>
    <row r="226" spans="1:9" ht="31.5" x14ac:dyDescent="0.25">
      <c r="A226" s="107"/>
      <c r="B226" s="85"/>
      <c r="C226" s="21" t="s">
        <v>14</v>
      </c>
      <c r="D226" s="15">
        <f>D216+D223</f>
        <v>120816.6</v>
      </c>
      <c r="E226" s="15">
        <f>E216+E223</f>
        <v>120816.6</v>
      </c>
      <c r="F226" s="15">
        <f>F216+F223+0.1</f>
        <v>53195.9</v>
      </c>
      <c r="G226" s="15">
        <f>G216+G223+0.1</f>
        <v>53027.9</v>
      </c>
      <c r="H226" s="53" t="s">
        <v>15</v>
      </c>
      <c r="I226" s="54">
        <f t="shared" si="39"/>
        <v>0.43890000000000001</v>
      </c>
    </row>
    <row r="227" spans="1:9" ht="47.25" x14ac:dyDescent="0.25">
      <c r="A227" s="95"/>
      <c r="B227" s="96"/>
      <c r="C227" s="21" t="s">
        <v>26</v>
      </c>
      <c r="D227" s="15">
        <f>D224</f>
        <v>138581</v>
      </c>
      <c r="E227" s="15">
        <f t="shared" ref="E227:G227" si="42">E224</f>
        <v>138581</v>
      </c>
      <c r="F227" s="15">
        <f t="shared" si="42"/>
        <v>75156.2</v>
      </c>
      <c r="G227" s="15">
        <f t="shared" si="42"/>
        <v>75156.2</v>
      </c>
      <c r="H227" s="53" t="s">
        <v>15</v>
      </c>
      <c r="I227" s="54">
        <f t="shared" si="39"/>
        <v>0.5423</v>
      </c>
    </row>
    <row r="228" spans="1:9" x14ac:dyDescent="0.25">
      <c r="A228" s="83">
        <v>10</v>
      </c>
      <c r="B228" s="30" t="s">
        <v>152</v>
      </c>
      <c r="C228" s="31"/>
      <c r="D228" s="31"/>
      <c r="E228" s="31"/>
      <c r="F228" s="31"/>
      <c r="G228" s="31"/>
      <c r="H228" s="31"/>
      <c r="I228" s="32"/>
    </row>
    <row r="229" spans="1:9" ht="47.25" x14ac:dyDescent="0.25">
      <c r="A229" s="108"/>
      <c r="B229" s="21" t="s">
        <v>153</v>
      </c>
      <c r="C229" s="21" t="s">
        <v>14</v>
      </c>
      <c r="D229" s="15">
        <v>1176</v>
      </c>
      <c r="E229" s="15">
        <v>1176</v>
      </c>
      <c r="F229" s="15">
        <v>425</v>
      </c>
      <c r="G229" s="15">
        <v>423.8</v>
      </c>
      <c r="H229" s="53" t="s">
        <v>15</v>
      </c>
      <c r="I229" s="54">
        <f>ROUND(G229/E229,4)</f>
        <v>0.3604</v>
      </c>
    </row>
    <row r="230" spans="1:9" ht="63" x14ac:dyDescent="0.25">
      <c r="A230" s="108"/>
      <c r="B230" s="21" t="s">
        <v>154</v>
      </c>
      <c r="C230" s="21" t="s">
        <v>14</v>
      </c>
      <c r="D230" s="15">
        <v>383.3</v>
      </c>
      <c r="E230" s="15">
        <v>383.3</v>
      </c>
      <c r="F230" s="15">
        <v>211.9</v>
      </c>
      <c r="G230" s="15">
        <v>211.9</v>
      </c>
      <c r="H230" s="53" t="s">
        <v>15</v>
      </c>
      <c r="I230" s="54">
        <f>ROUND(G230/E230,4)</f>
        <v>0.55279999999999996</v>
      </c>
    </row>
    <row r="231" spans="1:9" x14ac:dyDescent="0.25">
      <c r="A231" s="63"/>
      <c r="B231" s="43" t="s">
        <v>77</v>
      </c>
      <c r="C231" s="24" t="s">
        <v>33</v>
      </c>
      <c r="D231" s="25">
        <f>D232</f>
        <v>1559.3</v>
      </c>
      <c r="E231" s="25">
        <f>E232</f>
        <v>1559.3</v>
      </c>
      <c r="F231" s="25">
        <f>F232</f>
        <v>636.9</v>
      </c>
      <c r="G231" s="25">
        <f>G232</f>
        <v>635.70000000000005</v>
      </c>
      <c r="H231" s="53" t="s">
        <v>15</v>
      </c>
      <c r="I231" s="54">
        <f>ROUND(G231/E231,4)</f>
        <v>0.40770000000000001</v>
      </c>
    </row>
    <row r="232" spans="1:9" s="7" customFormat="1" ht="31.5" x14ac:dyDescent="0.25">
      <c r="A232" s="64"/>
      <c r="B232" s="59"/>
      <c r="C232" s="21" t="s">
        <v>14</v>
      </c>
      <c r="D232" s="15">
        <f>D229+D230</f>
        <v>1559.3</v>
      </c>
      <c r="E232" s="15">
        <f t="shared" ref="E232:G232" si="43">E229+E230</f>
        <v>1559.3</v>
      </c>
      <c r="F232" s="15">
        <f t="shared" si="43"/>
        <v>636.9</v>
      </c>
      <c r="G232" s="15">
        <f t="shared" si="43"/>
        <v>635.70000000000005</v>
      </c>
      <c r="H232" s="53" t="s">
        <v>15</v>
      </c>
      <c r="I232" s="54">
        <f>ROUND(G232/E232,4)</f>
        <v>0.40770000000000001</v>
      </c>
    </row>
    <row r="233" spans="1:9" x14ac:dyDescent="0.25">
      <c r="A233" s="24">
        <v>11</v>
      </c>
      <c r="B233" s="30" t="s">
        <v>155</v>
      </c>
      <c r="C233" s="31"/>
      <c r="D233" s="31"/>
      <c r="E233" s="31"/>
      <c r="F233" s="31"/>
      <c r="G233" s="31"/>
      <c r="H233" s="31"/>
      <c r="I233" s="32"/>
    </row>
    <row r="234" spans="1:9" ht="47.25" x14ac:dyDescent="0.25">
      <c r="A234" s="21"/>
      <c r="B234" s="21" t="s">
        <v>156</v>
      </c>
      <c r="C234" s="21" t="s">
        <v>14</v>
      </c>
      <c r="D234" s="21">
        <v>486.2</v>
      </c>
      <c r="E234" s="21">
        <v>486.2</v>
      </c>
      <c r="F234" s="21">
        <v>0</v>
      </c>
      <c r="G234" s="21">
        <v>0</v>
      </c>
      <c r="H234" s="109" t="s">
        <v>15</v>
      </c>
      <c r="I234" s="54">
        <f t="shared" ref="I234:I242" si="44">ROUND(G234/E234,4)</f>
        <v>0</v>
      </c>
    </row>
    <row r="235" spans="1:9" ht="47.25" x14ac:dyDescent="0.25">
      <c r="A235" s="24"/>
      <c r="B235" s="21" t="s">
        <v>157</v>
      </c>
      <c r="C235" s="21" t="s">
        <v>14</v>
      </c>
      <c r="D235" s="15">
        <v>2581</v>
      </c>
      <c r="E235" s="15">
        <v>2581</v>
      </c>
      <c r="F235" s="15">
        <v>478.8</v>
      </c>
      <c r="G235" s="15">
        <v>73.8</v>
      </c>
      <c r="H235" s="109" t="s">
        <v>15</v>
      </c>
      <c r="I235" s="54">
        <f t="shared" si="44"/>
        <v>2.86E-2</v>
      </c>
    </row>
    <row r="236" spans="1:9" ht="63" x14ac:dyDescent="0.25">
      <c r="A236" s="24"/>
      <c r="B236" s="21" t="s">
        <v>158</v>
      </c>
      <c r="C236" s="21" t="s">
        <v>14</v>
      </c>
      <c r="D236" s="15">
        <v>600</v>
      </c>
      <c r="E236" s="15">
        <v>600</v>
      </c>
      <c r="F236" s="15">
        <v>150</v>
      </c>
      <c r="G236" s="15">
        <v>50</v>
      </c>
      <c r="H236" s="109" t="s">
        <v>15</v>
      </c>
      <c r="I236" s="54">
        <f t="shared" si="44"/>
        <v>8.3299999999999999E-2</v>
      </c>
    </row>
    <row r="237" spans="1:9" ht="47.25" x14ac:dyDescent="0.25">
      <c r="A237" s="100"/>
      <c r="B237" s="21" t="s">
        <v>159</v>
      </c>
      <c r="C237" s="19" t="s">
        <v>26</v>
      </c>
      <c r="D237" s="15">
        <v>11365.3</v>
      </c>
      <c r="E237" s="15">
        <v>11365.3</v>
      </c>
      <c r="F237" s="15">
        <v>0</v>
      </c>
      <c r="G237" s="15">
        <v>0</v>
      </c>
      <c r="H237" s="109" t="s">
        <v>15</v>
      </c>
      <c r="I237" s="54">
        <f t="shared" si="44"/>
        <v>0</v>
      </c>
    </row>
    <row r="238" spans="1:9" ht="63" x14ac:dyDescent="0.25">
      <c r="A238" s="110"/>
      <c r="B238" s="21" t="s">
        <v>160</v>
      </c>
      <c r="C238" s="21" t="s">
        <v>14</v>
      </c>
      <c r="D238" s="15">
        <v>4145.2</v>
      </c>
      <c r="E238" s="15">
        <v>4145.2</v>
      </c>
      <c r="F238" s="15">
        <v>0</v>
      </c>
      <c r="G238" s="15">
        <v>0</v>
      </c>
      <c r="H238" s="109" t="s">
        <v>15</v>
      </c>
      <c r="I238" s="54">
        <f t="shared" si="44"/>
        <v>0</v>
      </c>
    </row>
    <row r="239" spans="1:9" ht="78.75" x14ac:dyDescent="0.25">
      <c r="A239" s="110"/>
      <c r="B239" s="19" t="s">
        <v>161</v>
      </c>
      <c r="C239" s="19" t="s">
        <v>26</v>
      </c>
      <c r="D239" s="15">
        <v>89194.2</v>
      </c>
      <c r="E239" s="15">
        <v>89194.2</v>
      </c>
      <c r="F239" s="15">
        <v>0</v>
      </c>
      <c r="G239" s="15">
        <v>0</v>
      </c>
      <c r="H239" s="109" t="s">
        <v>15</v>
      </c>
      <c r="I239" s="54">
        <f t="shared" si="44"/>
        <v>0</v>
      </c>
    </row>
    <row r="240" spans="1:9" x14ac:dyDescent="0.25">
      <c r="A240" s="111"/>
      <c r="B240" s="43" t="s">
        <v>77</v>
      </c>
      <c r="C240" s="24" t="s">
        <v>33</v>
      </c>
      <c r="D240" s="25">
        <f>D241+D242</f>
        <v>108371.9</v>
      </c>
      <c r="E240" s="25">
        <f>E241+E242</f>
        <v>108371.9</v>
      </c>
      <c r="F240" s="25">
        <f>F241+F242</f>
        <v>628.79999999999995</v>
      </c>
      <c r="G240" s="25">
        <f>G241+G242</f>
        <v>123.8</v>
      </c>
      <c r="H240" s="109" t="s">
        <v>15</v>
      </c>
      <c r="I240" s="54">
        <f t="shared" si="44"/>
        <v>1.1000000000000001E-3</v>
      </c>
    </row>
    <row r="241" spans="1:9" ht="31.5" x14ac:dyDescent="0.25">
      <c r="A241" s="112"/>
      <c r="B241" s="96"/>
      <c r="C241" s="21" t="s">
        <v>14</v>
      </c>
      <c r="D241" s="15">
        <f>D235+D238+D234+D236</f>
        <v>7812.4</v>
      </c>
      <c r="E241" s="15">
        <f t="shared" ref="E241:G241" si="45">E235+E238+E234+E236</f>
        <v>7812.4</v>
      </c>
      <c r="F241" s="15">
        <f t="shared" si="45"/>
        <v>628.79999999999995</v>
      </c>
      <c r="G241" s="15">
        <f t="shared" si="45"/>
        <v>123.8</v>
      </c>
      <c r="H241" s="109" t="s">
        <v>15</v>
      </c>
      <c r="I241" s="54">
        <f t="shared" si="44"/>
        <v>1.5800000000000002E-2</v>
      </c>
    </row>
    <row r="242" spans="1:9" ht="47.25" x14ac:dyDescent="0.25">
      <c r="A242" s="113"/>
      <c r="B242" s="82"/>
      <c r="C242" s="21" t="s">
        <v>26</v>
      </c>
      <c r="D242" s="15">
        <f>D237+D239</f>
        <v>100559.5</v>
      </c>
      <c r="E242" s="15">
        <f t="shared" ref="E242:G242" si="46">E237+E239</f>
        <v>100559.5</v>
      </c>
      <c r="F242" s="15">
        <f t="shared" si="46"/>
        <v>0</v>
      </c>
      <c r="G242" s="15">
        <f t="shared" si="46"/>
        <v>0</v>
      </c>
      <c r="H242" s="109" t="s">
        <v>15</v>
      </c>
      <c r="I242" s="54">
        <f t="shared" si="44"/>
        <v>0</v>
      </c>
    </row>
    <row r="243" spans="1:9" ht="15.75" customHeight="1" x14ac:dyDescent="0.25">
      <c r="A243" s="83">
        <v>12</v>
      </c>
      <c r="B243" s="30" t="s">
        <v>162</v>
      </c>
      <c r="C243" s="31"/>
      <c r="D243" s="31"/>
      <c r="E243" s="31"/>
      <c r="F243" s="31"/>
      <c r="G243" s="31"/>
      <c r="H243" s="31"/>
      <c r="I243" s="32"/>
    </row>
    <row r="244" spans="1:9" ht="15.75" customHeight="1" x14ac:dyDescent="0.25">
      <c r="A244" s="30" t="s">
        <v>163</v>
      </c>
      <c r="B244" s="31"/>
      <c r="C244" s="31"/>
      <c r="D244" s="31"/>
      <c r="E244" s="31"/>
      <c r="F244" s="31"/>
      <c r="G244" s="31"/>
      <c r="H244" s="31"/>
      <c r="I244" s="32"/>
    </row>
    <row r="245" spans="1:9" ht="63" x14ac:dyDescent="0.25">
      <c r="A245" s="83"/>
      <c r="B245" s="21" t="s">
        <v>164</v>
      </c>
      <c r="C245" s="21" t="s">
        <v>14</v>
      </c>
      <c r="D245" s="114">
        <f>68.7+47.7+97.6</f>
        <v>214</v>
      </c>
      <c r="E245" s="114">
        <f>68.7+47.7+97.6</f>
        <v>214</v>
      </c>
      <c r="F245" s="114">
        <f>61.2+30+23</f>
        <v>114.2</v>
      </c>
      <c r="G245" s="114">
        <f>1.2+30+23</f>
        <v>54.2</v>
      </c>
      <c r="H245" s="109" t="s">
        <v>15</v>
      </c>
      <c r="I245" s="54">
        <f t="shared" ref="I245:I247" si="47">ROUND(G245/E245,4)</f>
        <v>0.25330000000000003</v>
      </c>
    </row>
    <row r="246" spans="1:9" ht="78.75" x14ac:dyDescent="0.25">
      <c r="A246" s="83"/>
      <c r="B246" s="21" t="s">
        <v>165</v>
      </c>
      <c r="C246" s="21" t="s">
        <v>14</v>
      </c>
      <c r="D246" s="114">
        <f>397+45</f>
        <v>442</v>
      </c>
      <c r="E246" s="114">
        <f>397+45</f>
        <v>442</v>
      </c>
      <c r="F246" s="114">
        <f>115.4+30</f>
        <v>145.4</v>
      </c>
      <c r="G246" s="114">
        <f>115.4+30</f>
        <v>145.4</v>
      </c>
      <c r="H246" s="109" t="s">
        <v>15</v>
      </c>
      <c r="I246" s="54">
        <f t="shared" si="47"/>
        <v>0.32900000000000001</v>
      </c>
    </row>
    <row r="247" spans="1:9" ht="63" x14ac:dyDescent="0.25">
      <c r="A247" s="83"/>
      <c r="B247" s="21" t="s">
        <v>166</v>
      </c>
      <c r="C247" s="21" t="s">
        <v>14</v>
      </c>
      <c r="D247" s="114">
        <f>2.7+5</f>
        <v>7.7</v>
      </c>
      <c r="E247" s="114">
        <f>2.7+5</f>
        <v>7.7</v>
      </c>
      <c r="F247" s="114">
        <v>0</v>
      </c>
      <c r="G247" s="114">
        <v>0</v>
      </c>
      <c r="H247" s="109" t="s">
        <v>15</v>
      </c>
      <c r="I247" s="54">
        <f t="shared" si="47"/>
        <v>0</v>
      </c>
    </row>
    <row r="248" spans="1:9" ht="31.5" x14ac:dyDescent="0.25">
      <c r="A248" s="83"/>
      <c r="B248" s="24" t="s">
        <v>32</v>
      </c>
      <c r="C248" s="21" t="s">
        <v>14</v>
      </c>
      <c r="D248" s="25">
        <f>D245+D246+D247</f>
        <v>663.7</v>
      </c>
      <c r="E248" s="25">
        <f>E245+E246+E247</f>
        <v>663.7</v>
      </c>
      <c r="F248" s="25">
        <f>F245+F246+F247</f>
        <v>259.60000000000002</v>
      </c>
      <c r="G248" s="25">
        <f>G245+G246+G247</f>
        <v>199.60000000000002</v>
      </c>
      <c r="H248" s="109" t="s">
        <v>15</v>
      </c>
      <c r="I248" s="54">
        <f>ROUND(G248/E248,4)</f>
        <v>0.30070000000000002</v>
      </c>
    </row>
    <row r="249" spans="1:9" ht="15.75" customHeight="1" x14ac:dyDescent="0.25">
      <c r="A249" s="30" t="s">
        <v>167</v>
      </c>
      <c r="B249" s="31"/>
      <c r="C249" s="31"/>
      <c r="D249" s="31"/>
      <c r="E249" s="31"/>
      <c r="F249" s="31"/>
      <c r="G249" s="31"/>
      <c r="H249" s="31"/>
      <c r="I249" s="32"/>
    </row>
    <row r="250" spans="1:9" ht="78.75" x14ac:dyDescent="0.25">
      <c r="A250" s="83"/>
      <c r="B250" s="21" t="s">
        <v>168</v>
      </c>
      <c r="C250" s="21" t="s">
        <v>14</v>
      </c>
      <c r="D250" s="114">
        <f>358.6+95.4</f>
        <v>454</v>
      </c>
      <c r="E250" s="114">
        <f>358.6+95.4</f>
        <v>454</v>
      </c>
      <c r="F250" s="114">
        <f>303.1+95.4</f>
        <v>398.5</v>
      </c>
      <c r="G250" s="114">
        <f>288.3+95.4</f>
        <v>383.70000000000005</v>
      </c>
      <c r="H250" s="109" t="s">
        <v>15</v>
      </c>
      <c r="I250" s="54">
        <f>ROUND(G250/E250,4)</f>
        <v>0.84519999999999995</v>
      </c>
    </row>
    <row r="251" spans="1:9" ht="47.25" x14ac:dyDescent="0.25">
      <c r="A251" s="83"/>
      <c r="B251" s="21" t="s">
        <v>169</v>
      </c>
      <c r="C251" s="21" t="s">
        <v>14</v>
      </c>
      <c r="D251" s="114">
        <f>1.4</f>
        <v>1.4</v>
      </c>
      <c r="E251" s="114">
        <f>1.4</f>
        <v>1.4</v>
      </c>
      <c r="F251" s="114">
        <v>0</v>
      </c>
      <c r="G251" s="114">
        <v>0</v>
      </c>
      <c r="H251" s="109" t="s">
        <v>15</v>
      </c>
      <c r="I251" s="54">
        <f t="shared" ref="I251:I254" si="48">ROUND(G251/E251,4)</f>
        <v>0</v>
      </c>
    </row>
    <row r="252" spans="1:9" ht="31.5" x14ac:dyDescent="0.25">
      <c r="A252" s="83"/>
      <c r="B252" s="21" t="s">
        <v>170</v>
      </c>
      <c r="C252" s="21" t="s">
        <v>14</v>
      </c>
      <c r="D252" s="114">
        <f>20.7</f>
        <v>20.7</v>
      </c>
      <c r="E252" s="114">
        <f>20.7</f>
        <v>20.7</v>
      </c>
      <c r="F252" s="114">
        <v>0</v>
      </c>
      <c r="G252" s="114">
        <v>0</v>
      </c>
      <c r="H252" s="109" t="s">
        <v>15</v>
      </c>
      <c r="I252" s="54">
        <f t="shared" si="48"/>
        <v>0</v>
      </c>
    </row>
    <row r="253" spans="1:9" ht="63" x14ac:dyDescent="0.25">
      <c r="A253" s="83"/>
      <c r="B253" s="21" t="s">
        <v>171</v>
      </c>
      <c r="C253" s="21" t="s">
        <v>14</v>
      </c>
      <c r="D253" s="114">
        <v>150</v>
      </c>
      <c r="E253" s="114">
        <v>150</v>
      </c>
      <c r="F253" s="114">
        <v>53</v>
      </c>
      <c r="G253" s="114">
        <v>49.5</v>
      </c>
      <c r="H253" s="109" t="s">
        <v>15</v>
      </c>
      <c r="I253" s="54">
        <f t="shared" si="48"/>
        <v>0.33</v>
      </c>
    </row>
    <row r="254" spans="1:9" ht="31.5" x14ac:dyDescent="0.25">
      <c r="A254" s="83"/>
      <c r="B254" s="24" t="s">
        <v>32</v>
      </c>
      <c r="C254" s="24" t="s">
        <v>14</v>
      </c>
      <c r="D254" s="25">
        <f>D250+D251+D252+D253</f>
        <v>626.09999999999991</v>
      </c>
      <c r="E254" s="25">
        <f>E250+E251+E252+E253</f>
        <v>626.09999999999991</v>
      </c>
      <c r="F254" s="25">
        <f>F250+F251+F252+F253</f>
        <v>451.5</v>
      </c>
      <c r="G254" s="25">
        <f>G250+G251+G252+G253</f>
        <v>433.20000000000005</v>
      </c>
      <c r="H254" s="109" t="s">
        <v>15</v>
      </c>
      <c r="I254" s="54">
        <f t="shared" si="48"/>
        <v>0.69189999999999996</v>
      </c>
    </row>
    <row r="255" spans="1:9" ht="15.75" customHeight="1" x14ac:dyDescent="0.25">
      <c r="A255" s="30" t="s">
        <v>172</v>
      </c>
      <c r="B255" s="31"/>
      <c r="C255" s="31"/>
      <c r="D255" s="31"/>
      <c r="E255" s="31"/>
      <c r="F255" s="31"/>
      <c r="G255" s="31"/>
      <c r="H255" s="31"/>
      <c r="I255" s="32"/>
    </row>
    <row r="256" spans="1:9" ht="78.75" x14ac:dyDescent="0.25">
      <c r="A256" s="83"/>
      <c r="B256" s="21" t="s">
        <v>173</v>
      </c>
      <c r="C256" s="21" t="s">
        <v>14</v>
      </c>
      <c r="D256" s="114">
        <v>20</v>
      </c>
      <c r="E256" s="114">
        <v>20</v>
      </c>
      <c r="F256" s="114">
        <v>20</v>
      </c>
      <c r="G256" s="114">
        <v>20</v>
      </c>
      <c r="H256" s="109" t="s">
        <v>15</v>
      </c>
      <c r="I256" s="54">
        <f>ROUND(G256/E256,4)</f>
        <v>1</v>
      </c>
    </row>
    <row r="257" spans="1:9" ht="78.75" x14ac:dyDescent="0.25">
      <c r="A257" s="83"/>
      <c r="B257" s="21" t="s">
        <v>174</v>
      </c>
      <c r="C257" s="21" t="s">
        <v>14</v>
      </c>
      <c r="D257" s="114">
        <v>27.6</v>
      </c>
      <c r="E257" s="114">
        <v>27.6</v>
      </c>
      <c r="F257" s="114">
        <v>0</v>
      </c>
      <c r="G257" s="114">
        <v>0</v>
      </c>
      <c r="H257" s="109" t="s">
        <v>15</v>
      </c>
      <c r="I257" s="54">
        <f t="shared" ref="I257:I259" si="49">ROUND(G257/E257,4)</f>
        <v>0</v>
      </c>
    </row>
    <row r="258" spans="1:9" ht="31.5" x14ac:dyDescent="0.25">
      <c r="A258" s="83"/>
      <c r="B258" s="24" t="s">
        <v>32</v>
      </c>
      <c r="C258" s="24" t="s">
        <v>14</v>
      </c>
      <c r="D258" s="25">
        <f>D256+D257</f>
        <v>47.6</v>
      </c>
      <c r="E258" s="25">
        <f>E256+E257</f>
        <v>47.6</v>
      </c>
      <c r="F258" s="25">
        <f>F256+F257</f>
        <v>20</v>
      </c>
      <c r="G258" s="25">
        <f>G256+G257</f>
        <v>20</v>
      </c>
      <c r="H258" s="109" t="s">
        <v>15</v>
      </c>
      <c r="I258" s="54">
        <f t="shared" si="49"/>
        <v>0.42020000000000002</v>
      </c>
    </row>
    <row r="259" spans="1:9" ht="31.5" x14ac:dyDescent="0.25">
      <c r="A259" s="83"/>
      <c r="B259" s="24" t="s">
        <v>77</v>
      </c>
      <c r="C259" s="24" t="s">
        <v>14</v>
      </c>
      <c r="D259" s="25">
        <f>D248+D254+D258</f>
        <v>1337.3999999999999</v>
      </c>
      <c r="E259" s="25">
        <f>E248+E254+E258</f>
        <v>1337.3999999999999</v>
      </c>
      <c r="F259" s="25">
        <f>F248+F254+F258</f>
        <v>731.1</v>
      </c>
      <c r="G259" s="25">
        <f>G248+G254+G258</f>
        <v>652.80000000000007</v>
      </c>
      <c r="H259" s="109" t="s">
        <v>15</v>
      </c>
      <c r="I259" s="54">
        <f t="shared" si="49"/>
        <v>0.48809999999999998</v>
      </c>
    </row>
    <row r="260" spans="1:9" x14ac:dyDescent="0.25">
      <c r="A260" s="83" t="s">
        <v>175</v>
      </c>
      <c r="B260" s="30" t="s">
        <v>176</v>
      </c>
      <c r="C260" s="31"/>
      <c r="D260" s="31"/>
      <c r="E260" s="31"/>
      <c r="F260" s="31"/>
      <c r="G260" s="31"/>
      <c r="H260" s="31"/>
      <c r="I260" s="32"/>
    </row>
    <row r="261" spans="1:9" ht="15.75" customHeight="1" x14ac:dyDescent="0.25">
      <c r="A261" s="30" t="s">
        <v>177</v>
      </c>
      <c r="B261" s="31"/>
      <c r="C261" s="31"/>
      <c r="D261" s="31"/>
      <c r="E261" s="31"/>
      <c r="F261" s="31"/>
      <c r="G261" s="31"/>
      <c r="H261" s="31"/>
      <c r="I261" s="32"/>
    </row>
    <row r="262" spans="1:9" ht="31.5" x14ac:dyDescent="0.25">
      <c r="A262" s="83"/>
      <c r="B262" s="21" t="s">
        <v>178</v>
      </c>
      <c r="C262" s="21" t="s">
        <v>14</v>
      </c>
      <c r="D262" s="15">
        <v>5863.2</v>
      </c>
      <c r="E262" s="15">
        <v>5863.2</v>
      </c>
      <c r="F262" s="15">
        <v>2830.8</v>
      </c>
      <c r="G262" s="15">
        <v>2527.6999999999998</v>
      </c>
      <c r="H262" s="109" t="s">
        <v>15</v>
      </c>
      <c r="I262" s="54">
        <f>ROUND(G262/E262,4)</f>
        <v>0.43109999999999998</v>
      </c>
    </row>
    <row r="263" spans="1:9" ht="31.5" x14ac:dyDescent="0.25">
      <c r="A263" s="83"/>
      <c r="B263" s="21" t="s">
        <v>179</v>
      </c>
      <c r="C263" s="21" t="s">
        <v>14</v>
      </c>
      <c r="D263" s="15">
        <v>221</v>
      </c>
      <c r="E263" s="15">
        <v>221</v>
      </c>
      <c r="F263" s="15">
        <v>44.8</v>
      </c>
      <c r="G263" s="15">
        <v>44.8</v>
      </c>
      <c r="H263" s="115" t="s">
        <v>15</v>
      </c>
      <c r="I263" s="69">
        <f>ROUND(G263/E263,4)</f>
        <v>0.20269999999999999</v>
      </c>
    </row>
    <row r="264" spans="1:9" ht="47.25" x14ac:dyDescent="0.25">
      <c r="A264" s="83"/>
      <c r="B264" s="21" t="s">
        <v>180</v>
      </c>
      <c r="C264" s="21" t="s">
        <v>14</v>
      </c>
      <c r="D264" s="15">
        <v>125499.2</v>
      </c>
      <c r="E264" s="15">
        <v>125499.2</v>
      </c>
      <c r="F264" s="15">
        <v>67520.399999999994</v>
      </c>
      <c r="G264" s="15">
        <v>61965.7</v>
      </c>
      <c r="H264" s="109" t="s">
        <v>15</v>
      </c>
      <c r="I264" s="54">
        <f>ROUND(G264/E264,4)</f>
        <v>0.49380000000000002</v>
      </c>
    </row>
    <row r="265" spans="1:9" ht="31.5" hidden="1" x14ac:dyDescent="0.25">
      <c r="A265" s="83"/>
      <c r="B265" s="21" t="s">
        <v>181</v>
      </c>
      <c r="C265" s="21" t="s">
        <v>14</v>
      </c>
      <c r="D265" s="15">
        <v>0</v>
      </c>
      <c r="E265" s="15">
        <v>0</v>
      </c>
      <c r="F265" s="15">
        <v>0</v>
      </c>
      <c r="G265" s="15">
        <v>0</v>
      </c>
      <c r="H265" s="115" t="s">
        <v>15</v>
      </c>
      <c r="I265" s="69">
        <v>0</v>
      </c>
    </row>
    <row r="266" spans="1:9" ht="78.75" x14ac:dyDescent="0.25">
      <c r="A266" s="83"/>
      <c r="B266" s="21" t="s">
        <v>40</v>
      </c>
      <c r="C266" s="21" t="s">
        <v>14</v>
      </c>
      <c r="D266" s="15">
        <v>1261.8</v>
      </c>
      <c r="E266" s="15">
        <v>1261.8</v>
      </c>
      <c r="F266" s="15">
        <v>380</v>
      </c>
      <c r="G266" s="15">
        <v>276.10000000000002</v>
      </c>
      <c r="H266" s="109" t="s">
        <v>15</v>
      </c>
      <c r="I266" s="54">
        <f t="shared" ref="I266:I289" si="50">ROUND(G266/E266,4)</f>
        <v>0.21879999999999999</v>
      </c>
    </row>
    <row r="267" spans="1:9" ht="94.5" x14ac:dyDescent="0.25">
      <c r="A267" s="83"/>
      <c r="B267" s="21" t="s">
        <v>45</v>
      </c>
      <c r="C267" s="21" t="s">
        <v>14</v>
      </c>
      <c r="D267" s="15">
        <v>100</v>
      </c>
      <c r="E267" s="15">
        <v>100</v>
      </c>
      <c r="F267" s="15">
        <v>0</v>
      </c>
      <c r="G267" s="15">
        <v>0</v>
      </c>
      <c r="H267" s="116" t="s">
        <v>15</v>
      </c>
      <c r="I267" s="76">
        <f t="shared" si="50"/>
        <v>0</v>
      </c>
    </row>
    <row r="268" spans="1:9" ht="63" x14ac:dyDescent="0.25">
      <c r="A268" s="83"/>
      <c r="B268" s="21" t="s">
        <v>182</v>
      </c>
      <c r="C268" s="21" t="s">
        <v>26</v>
      </c>
      <c r="D268" s="15">
        <v>7</v>
      </c>
      <c r="E268" s="15">
        <v>7</v>
      </c>
      <c r="F268" s="15">
        <v>0</v>
      </c>
      <c r="G268" s="15">
        <v>0</v>
      </c>
      <c r="H268" s="117" t="s">
        <v>15</v>
      </c>
      <c r="I268" s="67">
        <f t="shared" si="50"/>
        <v>0</v>
      </c>
    </row>
    <row r="269" spans="1:9" ht="31.5" x14ac:dyDescent="0.25">
      <c r="A269" s="83"/>
      <c r="B269" s="21" t="s">
        <v>183</v>
      </c>
      <c r="C269" s="21" t="s">
        <v>14</v>
      </c>
      <c r="D269" s="15">
        <v>4778.3999999999996</v>
      </c>
      <c r="E269" s="15">
        <v>4778.3999999999996</v>
      </c>
      <c r="F269" s="15">
        <v>1894.7</v>
      </c>
      <c r="G269" s="15">
        <v>1604.2</v>
      </c>
      <c r="H269" s="115" t="s">
        <v>15</v>
      </c>
      <c r="I269" s="69">
        <f t="shared" si="50"/>
        <v>0.3357</v>
      </c>
    </row>
    <row r="270" spans="1:9" ht="47.25" x14ac:dyDescent="0.25">
      <c r="A270" s="83"/>
      <c r="B270" s="21" t="s">
        <v>184</v>
      </c>
      <c r="C270" s="21" t="s">
        <v>14</v>
      </c>
      <c r="D270" s="15">
        <v>735</v>
      </c>
      <c r="E270" s="15">
        <v>735</v>
      </c>
      <c r="F270" s="15">
        <v>58.9</v>
      </c>
      <c r="G270" s="15">
        <v>39.9</v>
      </c>
      <c r="H270" s="115" t="s">
        <v>15</v>
      </c>
      <c r="I270" s="69">
        <f t="shared" si="50"/>
        <v>5.4300000000000001E-2</v>
      </c>
    </row>
    <row r="271" spans="1:9" ht="31.5" x14ac:dyDescent="0.25">
      <c r="A271" s="83"/>
      <c r="B271" s="21" t="s">
        <v>185</v>
      </c>
      <c r="C271" s="21" t="s">
        <v>14</v>
      </c>
      <c r="D271" s="15">
        <v>240</v>
      </c>
      <c r="E271" s="15">
        <v>240</v>
      </c>
      <c r="F271" s="15">
        <v>232.4</v>
      </c>
      <c r="G271" s="15">
        <v>232.4</v>
      </c>
      <c r="H271" s="115" t="s">
        <v>15</v>
      </c>
      <c r="I271" s="69">
        <f t="shared" si="50"/>
        <v>0.96830000000000005</v>
      </c>
    </row>
    <row r="272" spans="1:9" ht="126" x14ac:dyDescent="0.25">
      <c r="A272" s="83"/>
      <c r="B272" s="21" t="s">
        <v>186</v>
      </c>
      <c r="C272" s="21" t="s">
        <v>26</v>
      </c>
      <c r="D272" s="15">
        <v>9113.7000000000007</v>
      </c>
      <c r="E272" s="15">
        <v>9113.7000000000007</v>
      </c>
      <c r="F272" s="15">
        <v>4426.3999999999996</v>
      </c>
      <c r="G272" s="15">
        <v>3936</v>
      </c>
      <c r="H272" s="115" t="s">
        <v>15</v>
      </c>
      <c r="I272" s="69">
        <f t="shared" si="50"/>
        <v>0.43190000000000001</v>
      </c>
    </row>
    <row r="273" spans="1:9" ht="126" x14ac:dyDescent="0.25">
      <c r="A273" s="83"/>
      <c r="B273" s="21" t="s">
        <v>187</v>
      </c>
      <c r="C273" s="21" t="s">
        <v>26</v>
      </c>
      <c r="D273" s="15">
        <v>1596.8</v>
      </c>
      <c r="E273" s="15">
        <v>1596.8</v>
      </c>
      <c r="F273" s="15">
        <v>717.8</v>
      </c>
      <c r="G273" s="15">
        <v>568.20000000000005</v>
      </c>
      <c r="H273" s="109" t="s">
        <v>15</v>
      </c>
      <c r="I273" s="54">
        <f t="shared" si="50"/>
        <v>0.35580000000000001</v>
      </c>
    </row>
    <row r="274" spans="1:9" ht="141.75" x14ac:dyDescent="0.25">
      <c r="A274" s="83"/>
      <c r="B274" s="21" t="s">
        <v>188</v>
      </c>
      <c r="C274" s="21" t="s">
        <v>26</v>
      </c>
      <c r="D274" s="15">
        <v>6</v>
      </c>
      <c r="E274" s="15">
        <v>6</v>
      </c>
      <c r="F274" s="15">
        <v>0</v>
      </c>
      <c r="G274" s="15">
        <v>0</v>
      </c>
      <c r="H274" s="109" t="s">
        <v>15</v>
      </c>
      <c r="I274" s="76">
        <f t="shared" si="50"/>
        <v>0</v>
      </c>
    </row>
    <row r="275" spans="1:9" ht="47.25" x14ac:dyDescent="0.25">
      <c r="A275" s="83"/>
      <c r="B275" s="21" t="s">
        <v>189</v>
      </c>
      <c r="C275" s="21" t="s">
        <v>26</v>
      </c>
      <c r="D275" s="15">
        <v>942.7</v>
      </c>
      <c r="E275" s="15">
        <v>942.7</v>
      </c>
      <c r="F275" s="15">
        <v>493</v>
      </c>
      <c r="G275" s="15">
        <v>451.8</v>
      </c>
      <c r="H275" s="109" t="s">
        <v>15</v>
      </c>
      <c r="I275" s="76">
        <f>ROUND(G275/E275,4)</f>
        <v>0.4793</v>
      </c>
    </row>
    <row r="276" spans="1:9" ht="63" x14ac:dyDescent="0.25">
      <c r="A276" s="83"/>
      <c r="B276" s="21" t="s">
        <v>190</v>
      </c>
      <c r="C276" s="21" t="s">
        <v>26</v>
      </c>
      <c r="D276" s="15">
        <v>3037.9</v>
      </c>
      <c r="E276" s="15">
        <v>3037.9</v>
      </c>
      <c r="F276" s="15">
        <v>1349.7</v>
      </c>
      <c r="G276" s="15">
        <v>1167.0999999999999</v>
      </c>
      <c r="H276" s="115" t="s">
        <v>15</v>
      </c>
      <c r="I276" s="67">
        <f t="shared" si="50"/>
        <v>0.38419999999999999</v>
      </c>
    </row>
    <row r="277" spans="1:9" ht="47.25" x14ac:dyDescent="0.25">
      <c r="A277" s="83"/>
      <c r="B277" s="21" t="s">
        <v>191</v>
      </c>
      <c r="C277" s="21" t="s">
        <v>26</v>
      </c>
      <c r="D277" s="15">
        <v>3283.4</v>
      </c>
      <c r="E277" s="15">
        <v>3283.4</v>
      </c>
      <c r="F277" s="15">
        <v>1343.4</v>
      </c>
      <c r="G277" s="15">
        <v>1180.8</v>
      </c>
      <c r="H277" s="115" t="s">
        <v>15</v>
      </c>
      <c r="I277" s="69">
        <f t="shared" si="50"/>
        <v>0.35959999999999998</v>
      </c>
    </row>
    <row r="278" spans="1:9" ht="63" x14ac:dyDescent="0.25">
      <c r="A278" s="83"/>
      <c r="B278" s="21" t="s">
        <v>192</v>
      </c>
      <c r="C278" s="21" t="s">
        <v>14</v>
      </c>
      <c r="D278" s="15">
        <v>791</v>
      </c>
      <c r="E278" s="15">
        <v>791</v>
      </c>
      <c r="F278" s="15">
        <v>0</v>
      </c>
      <c r="G278" s="15">
        <v>0</v>
      </c>
      <c r="H278" s="109" t="s">
        <v>15</v>
      </c>
      <c r="I278" s="54">
        <f t="shared" si="50"/>
        <v>0</v>
      </c>
    </row>
    <row r="279" spans="1:9" ht="63" x14ac:dyDescent="0.25">
      <c r="A279" s="83"/>
      <c r="B279" s="21" t="s">
        <v>193</v>
      </c>
      <c r="C279" s="21" t="s">
        <v>14</v>
      </c>
      <c r="D279" s="15">
        <v>568</v>
      </c>
      <c r="E279" s="15">
        <v>568</v>
      </c>
      <c r="F279" s="15">
        <v>0</v>
      </c>
      <c r="G279" s="15">
        <v>0</v>
      </c>
      <c r="H279" s="109" t="s">
        <v>15</v>
      </c>
      <c r="I279" s="54">
        <f t="shared" si="50"/>
        <v>0</v>
      </c>
    </row>
    <row r="280" spans="1:9" ht="78.75" x14ac:dyDescent="0.25">
      <c r="A280" s="83"/>
      <c r="B280" s="21" t="s">
        <v>194</v>
      </c>
      <c r="C280" s="21" t="s">
        <v>14</v>
      </c>
      <c r="D280" s="15">
        <v>521.9</v>
      </c>
      <c r="E280" s="15">
        <v>521.9</v>
      </c>
      <c r="F280" s="15">
        <v>0</v>
      </c>
      <c r="G280" s="15">
        <v>0</v>
      </c>
      <c r="H280" s="109" t="s">
        <v>15</v>
      </c>
      <c r="I280" s="54">
        <f t="shared" si="50"/>
        <v>0</v>
      </c>
    </row>
    <row r="281" spans="1:9" ht="63" x14ac:dyDescent="0.25">
      <c r="A281" s="83"/>
      <c r="B281" s="21" t="s">
        <v>171</v>
      </c>
      <c r="C281" s="21" t="s">
        <v>14</v>
      </c>
      <c r="D281" s="15">
        <v>220</v>
      </c>
      <c r="E281" s="15">
        <v>220</v>
      </c>
      <c r="F281" s="15">
        <v>0</v>
      </c>
      <c r="G281" s="15">
        <v>0</v>
      </c>
      <c r="H281" s="109" t="s">
        <v>15</v>
      </c>
      <c r="I281" s="54">
        <f t="shared" si="50"/>
        <v>0</v>
      </c>
    </row>
    <row r="282" spans="1:9" ht="78.75" x14ac:dyDescent="0.25">
      <c r="A282" s="83"/>
      <c r="B282" s="21" t="s">
        <v>195</v>
      </c>
      <c r="C282" s="21" t="s">
        <v>14</v>
      </c>
      <c r="D282" s="15">
        <v>128</v>
      </c>
      <c r="E282" s="15">
        <v>128</v>
      </c>
      <c r="F282" s="15">
        <v>0</v>
      </c>
      <c r="G282" s="15">
        <v>0</v>
      </c>
      <c r="H282" s="115" t="s">
        <v>15</v>
      </c>
      <c r="I282" s="69">
        <f t="shared" si="50"/>
        <v>0</v>
      </c>
    </row>
    <row r="283" spans="1:9" ht="63" x14ac:dyDescent="0.25">
      <c r="A283" s="83"/>
      <c r="B283" s="21" t="s">
        <v>196</v>
      </c>
      <c r="C283" s="21" t="s">
        <v>26</v>
      </c>
      <c r="D283" s="15">
        <v>29.1</v>
      </c>
      <c r="E283" s="15">
        <v>29.1</v>
      </c>
      <c r="F283" s="15">
        <v>13.2</v>
      </c>
      <c r="G283" s="15">
        <v>4</v>
      </c>
      <c r="H283" s="115" t="s">
        <v>15</v>
      </c>
      <c r="I283" s="69">
        <f t="shared" si="50"/>
        <v>0.13750000000000001</v>
      </c>
    </row>
    <row r="284" spans="1:9" ht="126" x14ac:dyDescent="0.25">
      <c r="A284" s="83"/>
      <c r="B284" s="21" t="s">
        <v>197</v>
      </c>
      <c r="C284" s="21" t="s">
        <v>26</v>
      </c>
      <c r="D284" s="15">
        <v>14.5</v>
      </c>
      <c r="E284" s="15">
        <v>14.5</v>
      </c>
      <c r="F284" s="15">
        <v>5.6</v>
      </c>
      <c r="G284" s="15">
        <v>4.2</v>
      </c>
      <c r="H284" s="109" t="s">
        <v>15</v>
      </c>
      <c r="I284" s="69">
        <f t="shared" si="50"/>
        <v>0.28970000000000001</v>
      </c>
    </row>
    <row r="285" spans="1:9" ht="94.5" hidden="1" x14ac:dyDescent="0.25">
      <c r="A285" s="83"/>
      <c r="B285" s="21" t="s">
        <v>198</v>
      </c>
      <c r="C285" s="21" t="s">
        <v>26</v>
      </c>
      <c r="D285" s="15">
        <v>0</v>
      </c>
      <c r="E285" s="15">
        <v>0</v>
      </c>
      <c r="F285" s="15">
        <v>0</v>
      </c>
      <c r="G285" s="15">
        <v>0</v>
      </c>
      <c r="H285" s="109" t="s">
        <v>15</v>
      </c>
      <c r="I285" s="69">
        <v>0</v>
      </c>
    </row>
    <row r="286" spans="1:9" ht="63" hidden="1" x14ac:dyDescent="0.25">
      <c r="A286" s="83"/>
      <c r="B286" s="21" t="s">
        <v>199</v>
      </c>
      <c r="C286" s="21" t="s">
        <v>14</v>
      </c>
      <c r="D286" s="15">
        <v>0</v>
      </c>
      <c r="E286" s="15">
        <v>0</v>
      </c>
      <c r="F286" s="15">
        <v>0</v>
      </c>
      <c r="G286" s="15">
        <v>0</v>
      </c>
      <c r="H286" s="109" t="s">
        <v>15</v>
      </c>
      <c r="I286" s="69">
        <v>0</v>
      </c>
    </row>
    <row r="287" spans="1:9" ht="126" x14ac:dyDescent="0.25">
      <c r="A287" s="83"/>
      <c r="B287" s="21" t="s">
        <v>200</v>
      </c>
      <c r="C287" s="21" t="s">
        <v>14</v>
      </c>
      <c r="D287" s="15">
        <v>100</v>
      </c>
      <c r="E287" s="15">
        <v>100</v>
      </c>
      <c r="F287" s="15">
        <v>0</v>
      </c>
      <c r="G287" s="15">
        <v>0</v>
      </c>
      <c r="H287" s="109" t="s">
        <v>15</v>
      </c>
      <c r="I287" s="69">
        <f t="shared" si="50"/>
        <v>0</v>
      </c>
    </row>
    <row r="288" spans="1:9" ht="47.25" hidden="1" x14ac:dyDescent="0.25">
      <c r="A288" s="83"/>
      <c r="B288" s="21" t="s">
        <v>201</v>
      </c>
      <c r="C288" s="21" t="s">
        <v>14</v>
      </c>
      <c r="D288" s="15">
        <v>0</v>
      </c>
      <c r="E288" s="15">
        <v>0</v>
      </c>
      <c r="F288" s="15">
        <v>0</v>
      </c>
      <c r="G288" s="15">
        <v>0</v>
      </c>
      <c r="H288" s="109" t="s">
        <v>15</v>
      </c>
      <c r="I288" s="69">
        <v>0</v>
      </c>
    </row>
    <row r="289" spans="1:13" ht="63" x14ac:dyDescent="0.25">
      <c r="A289" s="83"/>
      <c r="B289" s="21" t="s">
        <v>202</v>
      </c>
      <c r="C289" s="21" t="s">
        <v>203</v>
      </c>
      <c r="D289" s="15">
        <v>1222.5999999999999</v>
      </c>
      <c r="E289" s="15">
        <v>1222.5999999999999</v>
      </c>
      <c r="F289" s="15">
        <v>550.20000000000005</v>
      </c>
      <c r="G289" s="15">
        <v>522.29999999999995</v>
      </c>
      <c r="H289" s="109" t="s">
        <v>15</v>
      </c>
      <c r="I289" s="69">
        <f t="shared" si="50"/>
        <v>0.42720000000000002</v>
      </c>
    </row>
    <row r="290" spans="1:13" ht="78.75" hidden="1" x14ac:dyDescent="0.25">
      <c r="A290" s="83"/>
      <c r="B290" s="21" t="s">
        <v>204</v>
      </c>
      <c r="C290" s="21" t="s">
        <v>203</v>
      </c>
      <c r="D290" s="15">
        <v>0</v>
      </c>
      <c r="E290" s="15">
        <v>0</v>
      </c>
      <c r="F290" s="15">
        <v>0</v>
      </c>
      <c r="G290" s="15">
        <v>0</v>
      </c>
      <c r="H290" s="109" t="s">
        <v>15</v>
      </c>
      <c r="I290" s="69">
        <v>0</v>
      </c>
    </row>
    <row r="291" spans="1:13" ht="63" hidden="1" x14ac:dyDescent="0.25">
      <c r="A291" s="83"/>
      <c r="B291" s="21" t="s">
        <v>205</v>
      </c>
      <c r="C291" s="21" t="s">
        <v>203</v>
      </c>
      <c r="D291" s="15">
        <v>0</v>
      </c>
      <c r="E291" s="15">
        <v>0</v>
      </c>
      <c r="F291" s="15">
        <v>0</v>
      </c>
      <c r="G291" s="15">
        <v>0</v>
      </c>
      <c r="H291" s="109" t="s">
        <v>15</v>
      </c>
      <c r="I291" s="69">
        <v>0</v>
      </c>
    </row>
    <row r="292" spans="1:13" ht="31.5" hidden="1" x14ac:dyDescent="0.25">
      <c r="A292" s="83"/>
      <c r="B292" s="21" t="s">
        <v>206</v>
      </c>
      <c r="C292" s="21" t="s">
        <v>14</v>
      </c>
      <c r="D292" s="15">
        <v>0</v>
      </c>
      <c r="E292" s="15">
        <v>0</v>
      </c>
      <c r="F292" s="15">
        <v>0</v>
      </c>
      <c r="G292" s="15">
        <v>0</v>
      </c>
      <c r="H292" s="109" t="s">
        <v>15</v>
      </c>
      <c r="I292" s="69">
        <v>0</v>
      </c>
    </row>
    <row r="293" spans="1:13" ht="78.75" x14ac:dyDescent="0.25">
      <c r="A293" s="83"/>
      <c r="B293" s="21" t="s">
        <v>207</v>
      </c>
      <c r="C293" s="21" t="s">
        <v>14</v>
      </c>
      <c r="D293" s="15">
        <v>220</v>
      </c>
      <c r="E293" s="15">
        <v>220</v>
      </c>
      <c r="F293" s="15">
        <v>0</v>
      </c>
      <c r="G293" s="15">
        <v>0</v>
      </c>
      <c r="H293" s="109" t="s">
        <v>15</v>
      </c>
      <c r="I293" s="69">
        <f>ROUND(G293/E293,4)</f>
        <v>0</v>
      </c>
    </row>
    <row r="294" spans="1:13" ht="94.5" hidden="1" x14ac:dyDescent="0.25">
      <c r="A294" s="83"/>
      <c r="B294" s="21" t="s">
        <v>208</v>
      </c>
      <c r="C294" s="21" t="s">
        <v>26</v>
      </c>
      <c r="D294" s="15">
        <v>0</v>
      </c>
      <c r="E294" s="15">
        <v>0</v>
      </c>
      <c r="F294" s="15">
        <v>0</v>
      </c>
      <c r="G294" s="15">
        <v>0</v>
      </c>
      <c r="H294" s="109" t="s">
        <v>15</v>
      </c>
      <c r="I294" s="69">
        <v>0</v>
      </c>
    </row>
    <row r="295" spans="1:13" ht="63" x14ac:dyDescent="0.25">
      <c r="A295" s="83"/>
      <c r="B295" s="21" t="s">
        <v>209</v>
      </c>
      <c r="C295" s="21" t="s">
        <v>14</v>
      </c>
      <c r="D295" s="15">
        <v>10.1</v>
      </c>
      <c r="E295" s="15">
        <v>10.1</v>
      </c>
      <c r="F295" s="15">
        <v>4.3</v>
      </c>
      <c r="G295" s="15">
        <v>1.3</v>
      </c>
      <c r="H295" s="109" t="s">
        <v>15</v>
      </c>
      <c r="I295" s="69">
        <f t="shared" ref="I295:I303" si="51">ROUND(G295/E295,4)</f>
        <v>0.12870000000000001</v>
      </c>
    </row>
    <row r="296" spans="1:13" ht="78.75" x14ac:dyDescent="0.25">
      <c r="A296" s="83"/>
      <c r="B296" s="21" t="s">
        <v>210</v>
      </c>
      <c r="C296" s="21" t="s">
        <v>26</v>
      </c>
      <c r="D296" s="15">
        <v>38.4</v>
      </c>
      <c r="E296" s="15">
        <v>38.4</v>
      </c>
      <c r="F296" s="15">
        <v>7.9</v>
      </c>
      <c r="G296" s="15">
        <v>7.9</v>
      </c>
      <c r="H296" s="109" t="s">
        <v>15</v>
      </c>
      <c r="I296" s="69">
        <f t="shared" si="51"/>
        <v>0.20569999999999999</v>
      </c>
    </row>
    <row r="297" spans="1:13" ht="63" x14ac:dyDescent="0.25">
      <c r="A297" s="83"/>
      <c r="B297" s="21" t="s">
        <v>211</v>
      </c>
      <c r="C297" s="21" t="s">
        <v>14</v>
      </c>
      <c r="D297" s="15">
        <v>3390</v>
      </c>
      <c r="E297" s="15">
        <v>3390</v>
      </c>
      <c r="F297" s="15">
        <v>2013</v>
      </c>
      <c r="G297" s="15">
        <v>2013</v>
      </c>
      <c r="H297" s="115" t="s">
        <v>15</v>
      </c>
      <c r="I297" s="69">
        <f t="shared" si="51"/>
        <v>0.59379999999999999</v>
      </c>
    </row>
    <row r="298" spans="1:13" ht="126" x14ac:dyDescent="0.25">
      <c r="A298" s="83"/>
      <c r="B298" s="21" t="s">
        <v>212</v>
      </c>
      <c r="C298" s="21" t="s">
        <v>14</v>
      </c>
      <c r="D298" s="15">
        <v>3906</v>
      </c>
      <c r="E298" s="15">
        <v>3906</v>
      </c>
      <c r="F298" s="15">
        <v>2918</v>
      </c>
      <c r="G298" s="15">
        <v>2812.5</v>
      </c>
      <c r="H298" s="109" t="s">
        <v>15</v>
      </c>
      <c r="I298" s="54">
        <f t="shared" si="51"/>
        <v>0.72</v>
      </c>
    </row>
    <row r="299" spans="1:13" ht="31.5" x14ac:dyDescent="0.25">
      <c r="A299" s="84"/>
      <c r="B299" s="19" t="s">
        <v>213</v>
      </c>
      <c r="C299" s="19" t="s">
        <v>14</v>
      </c>
      <c r="D299" s="18">
        <v>2000</v>
      </c>
      <c r="E299" s="18">
        <v>2000</v>
      </c>
      <c r="F299" s="18">
        <v>0</v>
      </c>
      <c r="G299" s="18">
        <v>0</v>
      </c>
      <c r="H299" s="115" t="s">
        <v>15</v>
      </c>
      <c r="I299" s="69">
        <f t="shared" si="51"/>
        <v>0</v>
      </c>
    </row>
    <row r="300" spans="1:13" x14ac:dyDescent="0.25">
      <c r="A300" s="70"/>
      <c r="B300" s="42" t="s">
        <v>32</v>
      </c>
      <c r="C300" s="24" t="s">
        <v>33</v>
      </c>
      <c r="D300" s="25">
        <f>D301+D302+D303+0.1</f>
        <v>169845.80000000002</v>
      </c>
      <c r="E300" s="25">
        <f>E301+E302+E303+0.1</f>
        <v>169845.80000000002</v>
      </c>
      <c r="F300" s="25">
        <f>F301+F302+F303</f>
        <v>86804.5</v>
      </c>
      <c r="G300" s="25">
        <f>G301+G302+G303-0.1</f>
        <v>79359.799999999988</v>
      </c>
      <c r="H300" s="115" t="s">
        <v>15</v>
      </c>
      <c r="I300" s="69">
        <f t="shared" si="51"/>
        <v>0.4672</v>
      </c>
    </row>
    <row r="301" spans="1:13" ht="31.5" x14ac:dyDescent="0.25">
      <c r="A301" s="70"/>
      <c r="B301" s="73"/>
      <c r="C301" s="21" t="s">
        <v>14</v>
      </c>
      <c r="D301" s="15">
        <f>D299+D298+D297+D295+D293+D292+D288+D287+D286+D282+D281+D279+D278+D271+D270+D269+D267+D266+D265+D264+D263+D262+D280</f>
        <v>150553.60000000001</v>
      </c>
      <c r="E301" s="15">
        <f t="shared" ref="E301:G301" si="52">E299+E298+E297+E295+E293+E292+E288+E287+E286+E282+E281+E279+E278+E271+E270+E269+E267+E266+E265+E264+E263+E262+E280</f>
        <v>150553.60000000001</v>
      </c>
      <c r="F301" s="15">
        <f t="shared" si="52"/>
        <v>77897.3</v>
      </c>
      <c r="G301" s="15">
        <f t="shared" si="52"/>
        <v>71517.599999999991</v>
      </c>
      <c r="H301" s="115" t="s">
        <v>15</v>
      </c>
      <c r="I301" s="69">
        <f t="shared" si="51"/>
        <v>0.47499999999999998</v>
      </c>
    </row>
    <row r="302" spans="1:13" ht="31.5" x14ac:dyDescent="0.25">
      <c r="A302" s="70"/>
      <c r="B302" s="73"/>
      <c r="C302" s="21" t="s">
        <v>203</v>
      </c>
      <c r="D302" s="15">
        <f>D291+D290+D289</f>
        <v>1222.5999999999999</v>
      </c>
      <c r="E302" s="15">
        <f t="shared" ref="E302:G302" si="53">E291+E290+E289</f>
        <v>1222.5999999999999</v>
      </c>
      <c r="F302" s="15">
        <f t="shared" si="53"/>
        <v>550.20000000000005</v>
      </c>
      <c r="G302" s="15">
        <f t="shared" si="53"/>
        <v>522.29999999999995</v>
      </c>
      <c r="H302" s="115" t="s">
        <v>15</v>
      </c>
      <c r="I302" s="69">
        <f t="shared" si="51"/>
        <v>0.42720000000000002</v>
      </c>
    </row>
    <row r="303" spans="1:13" ht="47.25" x14ac:dyDescent="0.25">
      <c r="A303" s="70"/>
      <c r="B303" s="73"/>
      <c r="C303" s="21" t="s">
        <v>26</v>
      </c>
      <c r="D303" s="15">
        <f>D296+D294+D285+D284+D283+D277+D276+D275+D274+D273+D272+D268</f>
        <v>18069.5</v>
      </c>
      <c r="E303" s="15">
        <f t="shared" ref="E303:G303" si="54">E296+E294+E285+E284+E283+E277+E276+E275+E274+E273+E272+E268</f>
        <v>18069.5</v>
      </c>
      <c r="F303" s="15">
        <f t="shared" si="54"/>
        <v>8357</v>
      </c>
      <c r="G303" s="15">
        <f t="shared" si="54"/>
        <v>7320</v>
      </c>
      <c r="H303" s="109" t="s">
        <v>15</v>
      </c>
      <c r="I303" s="54">
        <f t="shared" si="51"/>
        <v>0.40510000000000002</v>
      </c>
      <c r="M303" s="1" t="s">
        <v>214</v>
      </c>
    </row>
    <row r="304" spans="1:13" x14ac:dyDescent="0.25">
      <c r="A304" s="30" t="s">
        <v>215</v>
      </c>
      <c r="B304" s="31"/>
      <c r="C304" s="31"/>
      <c r="D304" s="31"/>
      <c r="E304" s="31"/>
      <c r="F304" s="31"/>
      <c r="G304" s="31"/>
      <c r="H304" s="31"/>
      <c r="I304" s="32"/>
    </row>
    <row r="305" spans="1:9" ht="78.75" x14ac:dyDescent="0.25">
      <c r="A305" s="83"/>
      <c r="B305" s="21" t="s">
        <v>40</v>
      </c>
      <c r="C305" s="21" t="s">
        <v>14</v>
      </c>
      <c r="D305" s="15">
        <f>1000+900+50+214</f>
        <v>2164</v>
      </c>
      <c r="E305" s="15">
        <f>1000+900+50+214</f>
        <v>2164</v>
      </c>
      <c r="F305" s="15">
        <f>900+510+51.4</f>
        <v>1461.4</v>
      </c>
      <c r="G305" s="15">
        <f>600+310.9+51.4</f>
        <v>962.3</v>
      </c>
      <c r="H305" s="109" t="s">
        <v>15</v>
      </c>
      <c r="I305" s="54">
        <v>0</v>
      </c>
    </row>
    <row r="306" spans="1:9" ht="47.25" x14ac:dyDescent="0.25">
      <c r="A306" s="83"/>
      <c r="B306" s="21" t="s">
        <v>216</v>
      </c>
      <c r="C306" s="21" t="s">
        <v>14</v>
      </c>
      <c r="D306" s="15">
        <v>3291.3</v>
      </c>
      <c r="E306" s="15">
        <v>3291.3</v>
      </c>
      <c r="F306" s="15">
        <v>786.9</v>
      </c>
      <c r="G306" s="15">
        <v>786.9</v>
      </c>
      <c r="H306" s="109" t="s">
        <v>15</v>
      </c>
      <c r="I306" s="54">
        <f>ROUND(G306/E306,4)</f>
        <v>0.23910000000000001</v>
      </c>
    </row>
    <row r="307" spans="1:9" ht="78.75" x14ac:dyDescent="0.25">
      <c r="A307" s="83"/>
      <c r="B307" s="21" t="s">
        <v>40</v>
      </c>
      <c r="C307" s="21" t="s">
        <v>14</v>
      </c>
      <c r="D307" s="15">
        <v>170</v>
      </c>
      <c r="E307" s="15">
        <v>170</v>
      </c>
      <c r="F307" s="15">
        <v>25</v>
      </c>
      <c r="G307" s="15">
        <v>25</v>
      </c>
      <c r="H307" s="109" t="s">
        <v>15</v>
      </c>
      <c r="I307" s="54">
        <f>ROUND(G307/E307,4)</f>
        <v>0.14710000000000001</v>
      </c>
    </row>
    <row r="308" spans="1:9" ht="31.5" x14ac:dyDescent="0.25">
      <c r="A308" s="83"/>
      <c r="B308" s="21" t="s">
        <v>217</v>
      </c>
      <c r="C308" s="21" t="s">
        <v>14</v>
      </c>
      <c r="D308" s="15">
        <v>5441</v>
      </c>
      <c r="E308" s="15">
        <v>5441</v>
      </c>
      <c r="F308" s="15">
        <v>2694.3</v>
      </c>
      <c r="G308" s="15">
        <v>2693.8</v>
      </c>
      <c r="H308" s="109" t="s">
        <v>15</v>
      </c>
      <c r="I308" s="54">
        <f t="shared" ref="I308:I352" si="55">ROUND(G308/E308,4)</f>
        <v>0.49509999999999998</v>
      </c>
    </row>
    <row r="309" spans="1:9" ht="126" hidden="1" x14ac:dyDescent="0.25">
      <c r="A309" s="83"/>
      <c r="B309" s="21" t="s">
        <v>44</v>
      </c>
      <c r="C309" s="21" t="s">
        <v>14</v>
      </c>
      <c r="D309" s="15">
        <v>0</v>
      </c>
      <c r="E309" s="15">
        <v>0</v>
      </c>
      <c r="F309" s="15">
        <v>0</v>
      </c>
      <c r="G309" s="15">
        <v>0</v>
      </c>
      <c r="H309" s="109" t="s">
        <v>15</v>
      </c>
      <c r="I309" s="54">
        <v>0</v>
      </c>
    </row>
    <row r="310" spans="1:9" ht="78.75" hidden="1" x14ac:dyDescent="0.25">
      <c r="A310" s="83"/>
      <c r="B310" s="21" t="s">
        <v>40</v>
      </c>
      <c r="C310" s="21" t="s">
        <v>14</v>
      </c>
      <c r="D310" s="15">
        <v>0</v>
      </c>
      <c r="E310" s="15">
        <v>0</v>
      </c>
      <c r="F310" s="15">
        <v>0</v>
      </c>
      <c r="G310" s="15">
        <v>0</v>
      </c>
      <c r="H310" s="109" t="s">
        <v>15</v>
      </c>
      <c r="I310" s="54">
        <v>0</v>
      </c>
    </row>
    <row r="311" spans="1:9" ht="31.5" hidden="1" x14ac:dyDescent="0.25">
      <c r="A311" s="83"/>
      <c r="B311" s="21" t="s">
        <v>218</v>
      </c>
      <c r="C311" s="21" t="s">
        <v>14</v>
      </c>
      <c r="D311" s="15">
        <v>0</v>
      </c>
      <c r="E311" s="15">
        <v>0</v>
      </c>
      <c r="F311" s="15">
        <v>0</v>
      </c>
      <c r="G311" s="15">
        <v>0</v>
      </c>
      <c r="H311" s="109" t="s">
        <v>15</v>
      </c>
      <c r="I311" s="54">
        <v>0</v>
      </c>
    </row>
    <row r="312" spans="1:9" ht="78.75" hidden="1" x14ac:dyDescent="0.25">
      <c r="A312" s="83"/>
      <c r="B312" s="21" t="s">
        <v>219</v>
      </c>
      <c r="C312" s="21" t="s">
        <v>26</v>
      </c>
      <c r="D312" s="15">
        <v>0</v>
      </c>
      <c r="E312" s="15">
        <v>0</v>
      </c>
      <c r="F312" s="15">
        <v>0</v>
      </c>
      <c r="G312" s="15">
        <v>0</v>
      </c>
      <c r="H312" s="109" t="s">
        <v>15</v>
      </c>
      <c r="I312" s="54">
        <v>0</v>
      </c>
    </row>
    <row r="313" spans="1:9" ht="31.5" x14ac:dyDescent="0.25">
      <c r="A313" s="83"/>
      <c r="B313" s="21" t="s">
        <v>220</v>
      </c>
      <c r="C313" s="21" t="s">
        <v>14</v>
      </c>
      <c r="D313" s="15">
        <v>7538.2</v>
      </c>
      <c r="E313" s="15">
        <v>7538.2</v>
      </c>
      <c r="F313" s="15">
        <v>3924.4</v>
      </c>
      <c r="G313" s="15">
        <v>3924.4</v>
      </c>
      <c r="H313" s="109" t="s">
        <v>15</v>
      </c>
      <c r="I313" s="54">
        <f t="shared" si="55"/>
        <v>0.52059999999999995</v>
      </c>
    </row>
    <row r="314" spans="1:9" ht="63" x14ac:dyDescent="0.25">
      <c r="A314" s="83"/>
      <c r="B314" s="21" t="s">
        <v>221</v>
      </c>
      <c r="C314" s="21" t="s">
        <v>14</v>
      </c>
      <c r="D314" s="15">
        <v>72411.100000000006</v>
      </c>
      <c r="E314" s="15">
        <v>72411.100000000006</v>
      </c>
      <c r="F314" s="15">
        <v>45000</v>
      </c>
      <c r="G314" s="15">
        <v>39900</v>
      </c>
      <c r="H314" s="109" t="s">
        <v>15</v>
      </c>
      <c r="I314" s="54">
        <f t="shared" si="55"/>
        <v>0.55100000000000005</v>
      </c>
    </row>
    <row r="315" spans="1:9" ht="47.25" x14ac:dyDescent="0.25">
      <c r="A315" s="83"/>
      <c r="B315" s="21" t="s">
        <v>222</v>
      </c>
      <c r="C315" s="21" t="s">
        <v>14</v>
      </c>
      <c r="D315" s="15">
        <v>97950.2</v>
      </c>
      <c r="E315" s="15">
        <v>97950.2</v>
      </c>
      <c r="F315" s="15">
        <v>57739.6</v>
      </c>
      <c r="G315" s="15">
        <v>52754.9</v>
      </c>
      <c r="H315" s="109" t="s">
        <v>15</v>
      </c>
      <c r="I315" s="54">
        <f t="shared" si="55"/>
        <v>0.53859999999999997</v>
      </c>
    </row>
    <row r="316" spans="1:9" ht="157.5" x14ac:dyDescent="0.25">
      <c r="A316" s="83"/>
      <c r="B316" s="21" t="s">
        <v>89</v>
      </c>
      <c r="C316" s="21" t="s">
        <v>26</v>
      </c>
      <c r="D316" s="15">
        <v>223</v>
      </c>
      <c r="E316" s="15">
        <v>223</v>
      </c>
      <c r="F316" s="15">
        <v>130.5</v>
      </c>
      <c r="G316" s="15">
        <v>130.5</v>
      </c>
      <c r="H316" s="109" t="s">
        <v>15</v>
      </c>
      <c r="I316" s="54">
        <f t="shared" si="55"/>
        <v>0.58520000000000005</v>
      </c>
    </row>
    <row r="317" spans="1:9" ht="78.75" x14ac:dyDescent="0.25">
      <c r="A317" s="83"/>
      <c r="B317" s="21" t="s">
        <v>204</v>
      </c>
      <c r="C317" s="21" t="s">
        <v>203</v>
      </c>
      <c r="D317" s="15">
        <v>30</v>
      </c>
      <c r="E317" s="15">
        <v>30</v>
      </c>
      <c r="F317" s="15">
        <v>15.3</v>
      </c>
      <c r="G317" s="15">
        <v>0</v>
      </c>
      <c r="H317" s="109" t="s">
        <v>15</v>
      </c>
      <c r="I317" s="54">
        <f t="shared" si="55"/>
        <v>0</v>
      </c>
    </row>
    <row r="318" spans="1:9" ht="94.5" x14ac:dyDescent="0.25">
      <c r="A318" s="83"/>
      <c r="B318" s="21" t="s">
        <v>223</v>
      </c>
      <c r="C318" s="21" t="s">
        <v>26</v>
      </c>
      <c r="D318" s="15">
        <v>89.5</v>
      </c>
      <c r="E318" s="15">
        <v>89.5</v>
      </c>
      <c r="F318" s="15">
        <v>46.2</v>
      </c>
      <c r="G318" s="15">
        <v>46.2</v>
      </c>
      <c r="H318" s="109" t="s">
        <v>15</v>
      </c>
      <c r="I318" s="54">
        <f t="shared" si="55"/>
        <v>0.51619999999999999</v>
      </c>
    </row>
    <row r="319" spans="1:9" ht="126" hidden="1" x14ac:dyDescent="0.25">
      <c r="A319" s="83"/>
      <c r="B319" s="21" t="s">
        <v>44</v>
      </c>
      <c r="C319" s="21" t="s">
        <v>14</v>
      </c>
      <c r="D319" s="15">
        <v>0</v>
      </c>
      <c r="E319" s="15">
        <v>0</v>
      </c>
      <c r="F319" s="15">
        <v>0</v>
      </c>
      <c r="G319" s="15">
        <v>0</v>
      </c>
      <c r="H319" s="109" t="s">
        <v>15</v>
      </c>
      <c r="I319" s="54">
        <v>0</v>
      </c>
    </row>
    <row r="320" spans="1:9" ht="31.5" x14ac:dyDescent="0.25">
      <c r="A320" s="83"/>
      <c r="B320" s="21" t="s">
        <v>224</v>
      </c>
      <c r="C320" s="21" t="s">
        <v>14</v>
      </c>
      <c r="D320" s="15">
        <v>18884</v>
      </c>
      <c r="E320" s="15">
        <v>18884</v>
      </c>
      <c r="F320" s="15">
        <v>8318.6</v>
      </c>
      <c r="G320" s="15">
        <v>8228.2000000000007</v>
      </c>
      <c r="H320" s="109" t="s">
        <v>15</v>
      </c>
      <c r="I320" s="54">
        <f t="shared" si="55"/>
        <v>0.43569999999999998</v>
      </c>
    </row>
    <row r="321" spans="1:10" ht="31.5" x14ac:dyDescent="0.25">
      <c r="A321" s="83"/>
      <c r="B321" s="21" t="s">
        <v>225</v>
      </c>
      <c r="C321" s="21" t="s">
        <v>203</v>
      </c>
      <c r="D321" s="15">
        <v>3397.1</v>
      </c>
      <c r="E321" s="15">
        <v>3397.1</v>
      </c>
      <c r="F321" s="15">
        <v>1152.8</v>
      </c>
      <c r="G321" s="15">
        <v>1077</v>
      </c>
      <c r="H321" s="109" t="s">
        <v>15</v>
      </c>
      <c r="I321" s="54">
        <f t="shared" si="55"/>
        <v>0.317</v>
      </c>
    </row>
    <row r="322" spans="1:10" ht="47.25" x14ac:dyDescent="0.25">
      <c r="A322" s="83"/>
      <c r="B322" s="21" t="s">
        <v>226</v>
      </c>
      <c r="C322" s="21" t="s">
        <v>14</v>
      </c>
      <c r="D322" s="15">
        <v>4</v>
      </c>
      <c r="E322" s="15">
        <v>4</v>
      </c>
      <c r="F322" s="15">
        <v>0</v>
      </c>
      <c r="G322" s="15">
        <v>0</v>
      </c>
      <c r="H322" s="109" t="s">
        <v>15</v>
      </c>
      <c r="I322" s="54">
        <f t="shared" si="55"/>
        <v>0</v>
      </c>
    </row>
    <row r="323" spans="1:10" ht="31.5" x14ac:dyDescent="0.25">
      <c r="A323" s="83"/>
      <c r="B323" s="21" t="s">
        <v>183</v>
      </c>
      <c r="C323" s="21" t="s">
        <v>14</v>
      </c>
      <c r="D323" s="15">
        <v>2050</v>
      </c>
      <c r="E323" s="15">
        <v>2050</v>
      </c>
      <c r="F323" s="15">
        <v>1073.8</v>
      </c>
      <c r="G323" s="15">
        <v>1073.8</v>
      </c>
      <c r="H323" s="109" t="s">
        <v>15</v>
      </c>
      <c r="I323" s="54">
        <f t="shared" si="55"/>
        <v>0.52380000000000004</v>
      </c>
    </row>
    <row r="324" spans="1:10" x14ac:dyDescent="0.25">
      <c r="A324" s="70"/>
      <c r="B324" s="42" t="s">
        <v>32</v>
      </c>
      <c r="C324" s="24" t="s">
        <v>33</v>
      </c>
      <c r="D324" s="25">
        <f>D325+D326+D327</f>
        <v>213643.4</v>
      </c>
      <c r="E324" s="25">
        <f t="shared" ref="E324:G324" si="56">E325+E326+E327</f>
        <v>213643.4</v>
      </c>
      <c r="F324" s="25">
        <f t="shared" si="56"/>
        <v>122368.79999999999</v>
      </c>
      <c r="G324" s="25">
        <f t="shared" si="56"/>
        <v>111602.99999999999</v>
      </c>
      <c r="H324" s="109" t="s">
        <v>15</v>
      </c>
      <c r="I324" s="54">
        <f t="shared" si="55"/>
        <v>0.52239999999999998</v>
      </c>
      <c r="J324" s="12"/>
    </row>
    <row r="325" spans="1:10" ht="31.5" x14ac:dyDescent="0.25">
      <c r="A325" s="70"/>
      <c r="B325" s="73"/>
      <c r="C325" s="21" t="s">
        <v>14</v>
      </c>
      <c r="D325" s="15">
        <f>D323+D322+D320+D319+D315+D314+D313+D311+D310+D309+D308+D307+D306+D305</f>
        <v>209903.8</v>
      </c>
      <c r="E325" s="15">
        <f t="shared" ref="E325:G325" si="57">E323+E322+E320+E319+E315+E314+E313+E311+E310+E309+E308+E307+E306+E305</f>
        <v>209903.8</v>
      </c>
      <c r="F325" s="15">
        <f t="shared" si="57"/>
        <v>121023.99999999999</v>
      </c>
      <c r="G325" s="15">
        <f t="shared" si="57"/>
        <v>110349.29999999999</v>
      </c>
      <c r="H325" s="109" t="s">
        <v>15</v>
      </c>
      <c r="I325" s="54">
        <f t="shared" si="55"/>
        <v>0.52569999999999995</v>
      </c>
    </row>
    <row r="326" spans="1:10" ht="31.5" x14ac:dyDescent="0.25">
      <c r="A326" s="70"/>
      <c r="B326" s="73"/>
      <c r="C326" s="21" t="s">
        <v>203</v>
      </c>
      <c r="D326" s="15">
        <f>D317+D321</f>
        <v>3427.1</v>
      </c>
      <c r="E326" s="15">
        <f>E317+E321</f>
        <v>3427.1</v>
      </c>
      <c r="F326" s="15">
        <f>F317+F321</f>
        <v>1168.0999999999999</v>
      </c>
      <c r="G326" s="15">
        <f>G317+G321</f>
        <v>1077</v>
      </c>
      <c r="H326" s="109" t="s">
        <v>15</v>
      </c>
      <c r="I326" s="54">
        <f t="shared" si="55"/>
        <v>0.31430000000000002</v>
      </c>
    </row>
    <row r="327" spans="1:10" ht="47.25" x14ac:dyDescent="0.25">
      <c r="A327" s="70"/>
      <c r="B327" s="73"/>
      <c r="C327" s="21" t="s">
        <v>26</v>
      </c>
      <c r="D327" s="15">
        <f>D316+D318+D312</f>
        <v>312.5</v>
      </c>
      <c r="E327" s="15">
        <f>E316+E318+E312</f>
        <v>312.5</v>
      </c>
      <c r="F327" s="15">
        <f>F316+F318+F312</f>
        <v>176.7</v>
      </c>
      <c r="G327" s="15">
        <f>G316+G318+G312</f>
        <v>176.7</v>
      </c>
      <c r="H327" s="109" t="s">
        <v>15</v>
      </c>
      <c r="I327" s="54">
        <f t="shared" si="55"/>
        <v>0.56540000000000001</v>
      </c>
    </row>
    <row r="328" spans="1:10" x14ac:dyDescent="0.25">
      <c r="A328" s="83"/>
      <c r="B328" s="30" t="s">
        <v>227</v>
      </c>
      <c r="C328" s="31"/>
      <c r="D328" s="31"/>
      <c r="E328" s="31"/>
      <c r="F328" s="31"/>
      <c r="G328" s="31"/>
      <c r="H328" s="31"/>
      <c r="I328" s="32"/>
    </row>
    <row r="329" spans="1:10" ht="31.5" x14ac:dyDescent="0.25">
      <c r="A329" s="83"/>
      <c r="B329" s="21" t="s">
        <v>228</v>
      </c>
      <c r="C329" s="21" t="s">
        <v>14</v>
      </c>
      <c r="D329" s="15">
        <v>388</v>
      </c>
      <c r="E329" s="15">
        <v>388</v>
      </c>
      <c r="F329" s="15">
        <v>84</v>
      </c>
      <c r="G329" s="15">
        <v>80.5</v>
      </c>
      <c r="H329" s="109" t="s">
        <v>15</v>
      </c>
      <c r="I329" s="54">
        <f t="shared" si="55"/>
        <v>0.20749999999999999</v>
      </c>
    </row>
    <row r="330" spans="1:10" x14ac:dyDescent="0.25">
      <c r="A330" s="70"/>
      <c r="B330" s="42" t="s">
        <v>32</v>
      </c>
      <c r="C330" s="24" t="s">
        <v>33</v>
      </c>
      <c r="D330" s="25">
        <f>D329</f>
        <v>388</v>
      </c>
      <c r="E330" s="25">
        <f>E331</f>
        <v>388</v>
      </c>
      <c r="F330" s="25">
        <f>F331</f>
        <v>84</v>
      </c>
      <c r="G330" s="25">
        <f>G331</f>
        <v>80.5</v>
      </c>
      <c r="H330" s="118" t="s">
        <v>15</v>
      </c>
      <c r="I330" s="80">
        <f t="shared" si="55"/>
        <v>0.20749999999999999</v>
      </c>
    </row>
    <row r="331" spans="1:10" ht="31.5" x14ac:dyDescent="0.25">
      <c r="A331" s="70"/>
      <c r="B331" s="73"/>
      <c r="C331" s="21" t="s">
        <v>14</v>
      </c>
      <c r="D331" s="15">
        <f>D329</f>
        <v>388</v>
      </c>
      <c r="E331" s="15">
        <f>E329</f>
        <v>388</v>
      </c>
      <c r="F331" s="15">
        <f>F329</f>
        <v>84</v>
      </c>
      <c r="G331" s="15">
        <f>G329</f>
        <v>80.5</v>
      </c>
      <c r="H331" s="109" t="s">
        <v>15</v>
      </c>
      <c r="I331" s="54">
        <f t="shared" si="55"/>
        <v>0.20749999999999999</v>
      </c>
    </row>
    <row r="332" spans="1:10" s="3" customFormat="1" x14ac:dyDescent="0.25">
      <c r="A332" s="70"/>
      <c r="B332" s="42" t="s">
        <v>77</v>
      </c>
      <c r="C332" s="101" t="s">
        <v>33</v>
      </c>
      <c r="D332" s="102">
        <f>D333+D334+D335+0.1</f>
        <v>383877.2</v>
      </c>
      <c r="E332" s="102">
        <f>E333+E334+E335+0.1</f>
        <v>383877.2</v>
      </c>
      <c r="F332" s="102">
        <f>F333+F334+F335</f>
        <v>209257.3</v>
      </c>
      <c r="G332" s="102">
        <f>G333+G334+G335-0.1</f>
        <v>191043.29999999996</v>
      </c>
      <c r="H332" s="109" t="s">
        <v>15</v>
      </c>
      <c r="I332" s="54">
        <f t="shared" si="55"/>
        <v>0.49769999999999998</v>
      </c>
    </row>
    <row r="333" spans="1:10" s="3" customFormat="1" ht="31.5" x14ac:dyDescent="0.25">
      <c r="A333" s="73"/>
      <c r="B333" s="73"/>
      <c r="C333" s="21" t="s">
        <v>14</v>
      </c>
      <c r="D333" s="15">
        <f>D331+D325+D301</f>
        <v>360845.4</v>
      </c>
      <c r="E333" s="15">
        <f>E331+E325+E301</f>
        <v>360845.4</v>
      </c>
      <c r="F333" s="15">
        <f>F331+F325+F301</f>
        <v>199005.3</v>
      </c>
      <c r="G333" s="15">
        <f>G331+G325+G301</f>
        <v>181947.39999999997</v>
      </c>
      <c r="H333" s="109" t="s">
        <v>15</v>
      </c>
      <c r="I333" s="54">
        <f t="shared" si="55"/>
        <v>0.50419999999999998</v>
      </c>
    </row>
    <row r="334" spans="1:10" s="3" customFormat="1" ht="47.25" x14ac:dyDescent="0.25">
      <c r="A334" s="73"/>
      <c r="B334" s="73"/>
      <c r="C334" s="21" t="s">
        <v>26</v>
      </c>
      <c r="D334" s="15">
        <f>D327+D303</f>
        <v>18382</v>
      </c>
      <c r="E334" s="15">
        <f>E327+E303</f>
        <v>18382</v>
      </c>
      <c r="F334" s="15">
        <f>F327+F303</f>
        <v>8533.7000000000007</v>
      </c>
      <c r="G334" s="15">
        <f>G327+G303</f>
        <v>7496.7</v>
      </c>
      <c r="H334" s="109" t="s">
        <v>15</v>
      </c>
      <c r="I334" s="54">
        <f t="shared" si="55"/>
        <v>0.4078</v>
      </c>
    </row>
    <row r="335" spans="1:10" s="3" customFormat="1" ht="31.5" x14ac:dyDescent="0.25">
      <c r="A335" s="119"/>
      <c r="B335" s="119"/>
      <c r="C335" s="21" t="s">
        <v>203</v>
      </c>
      <c r="D335" s="17">
        <f>D326+D302</f>
        <v>4649.7</v>
      </c>
      <c r="E335" s="17">
        <f>E326+E302</f>
        <v>4649.7</v>
      </c>
      <c r="F335" s="17">
        <f>F326+F302</f>
        <v>1718.3</v>
      </c>
      <c r="G335" s="17">
        <f>G326+G302</f>
        <v>1599.3</v>
      </c>
      <c r="H335" s="109" t="s">
        <v>15</v>
      </c>
      <c r="I335" s="54">
        <f t="shared" si="55"/>
        <v>0.34399999999999997</v>
      </c>
    </row>
    <row r="336" spans="1:10" x14ac:dyDescent="0.25">
      <c r="A336" s="24">
        <v>14</v>
      </c>
      <c r="B336" s="30" t="s">
        <v>229</v>
      </c>
      <c r="C336" s="31"/>
      <c r="D336" s="31"/>
      <c r="E336" s="31"/>
      <c r="F336" s="31"/>
      <c r="G336" s="31"/>
      <c r="H336" s="31"/>
      <c r="I336" s="32"/>
    </row>
    <row r="337" spans="1:9" ht="63" x14ac:dyDescent="0.25">
      <c r="A337" s="100"/>
      <c r="B337" s="21" t="s">
        <v>230</v>
      </c>
      <c r="C337" s="21" t="s">
        <v>14</v>
      </c>
      <c r="D337" s="15">
        <f>192.2+351.3</f>
        <v>543.5</v>
      </c>
      <c r="E337" s="15">
        <f>192.2+351.3</f>
        <v>543.5</v>
      </c>
      <c r="F337" s="15">
        <f>106.2+112.9</f>
        <v>219.10000000000002</v>
      </c>
      <c r="G337" s="15">
        <f>106.2+112.9</f>
        <v>219.10000000000002</v>
      </c>
      <c r="H337" s="109" t="s">
        <v>15</v>
      </c>
      <c r="I337" s="54">
        <f t="shared" si="55"/>
        <v>0.40310000000000001</v>
      </c>
    </row>
    <row r="338" spans="1:9" ht="47.25" x14ac:dyDescent="0.25">
      <c r="A338" s="100"/>
      <c r="B338" s="21" t="s">
        <v>231</v>
      </c>
      <c r="C338" s="21" t="s">
        <v>14</v>
      </c>
      <c r="D338" s="15">
        <f>13.5+958.1+42.4</f>
        <v>1014</v>
      </c>
      <c r="E338" s="15">
        <f>13.5+958.1+42.4</f>
        <v>1014</v>
      </c>
      <c r="F338" s="15">
        <f>958.1+2.5</f>
        <v>960.6</v>
      </c>
      <c r="G338" s="15">
        <f>804+2.5</f>
        <v>806.5</v>
      </c>
      <c r="H338" s="109" t="s">
        <v>15</v>
      </c>
      <c r="I338" s="54">
        <f t="shared" si="55"/>
        <v>0.7954</v>
      </c>
    </row>
    <row r="339" spans="1:9" ht="47.25" x14ac:dyDescent="0.25">
      <c r="A339" s="110"/>
      <c r="B339" s="19" t="s">
        <v>232</v>
      </c>
      <c r="C339" s="21" t="s">
        <v>14</v>
      </c>
      <c r="D339" s="15">
        <f>88.2+266+177.7</f>
        <v>531.9</v>
      </c>
      <c r="E339" s="15">
        <f>88.2+266+177.7</f>
        <v>531.9</v>
      </c>
      <c r="F339" s="15">
        <f>23.3+133.3</f>
        <v>156.60000000000002</v>
      </c>
      <c r="G339" s="15">
        <f>23.3+133.3</f>
        <v>156.60000000000002</v>
      </c>
      <c r="H339" s="109" t="s">
        <v>15</v>
      </c>
      <c r="I339" s="54">
        <f t="shared" si="55"/>
        <v>0.2944</v>
      </c>
    </row>
    <row r="340" spans="1:9" ht="78.75" x14ac:dyDescent="0.25">
      <c r="A340" s="110"/>
      <c r="B340" s="19" t="s">
        <v>233</v>
      </c>
      <c r="C340" s="21" t="s">
        <v>14</v>
      </c>
      <c r="D340" s="15">
        <f>13.5+12</f>
        <v>25.5</v>
      </c>
      <c r="E340" s="15">
        <f>13.5+12</f>
        <v>25.5</v>
      </c>
      <c r="F340" s="15">
        <v>12</v>
      </c>
      <c r="G340" s="15">
        <v>12</v>
      </c>
      <c r="H340" s="109" t="s">
        <v>15</v>
      </c>
      <c r="I340" s="54">
        <f t="shared" si="55"/>
        <v>0.47060000000000002</v>
      </c>
    </row>
    <row r="341" spans="1:9" ht="47.25" x14ac:dyDescent="0.25">
      <c r="A341" s="110"/>
      <c r="B341" s="19" t="s">
        <v>234</v>
      </c>
      <c r="C341" s="21" t="s">
        <v>14</v>
      </c>
      <c r="D341" s="15">
        <v>60</v>
      </c>
      <c r="E341" s="15">
        <v>60</v>
      </c>
      <c r="F341" s="15">
        <v>35</v>
      </c>
      <c r="G341" s="15">
        <v>30</v>
      </c>
      <c r="H341" s="109" t="s">
        <v>15</v>
      </c>
      <c r="I341" s="54">
        <f t="shared" si="55"/>
        <v>0.5</v>
      </c>
    </row>
    <row r="342" spans="1:9" ht="94.5" x14ac:dyDescent="0.25">
      <c r="A342" s="110"/>
      <c r="B342" s="19" t="s">
        <v>235</v>
      </c>
      <c r="C342" s="21" t="s">
        <v>26</v>
      </c>
      <c r="D342" s="15">
        <v>794.1</v>
      </c>
      <c r="E342" s="15">
        <v>794.1</v>
      </c>
      <c r="F342" s="15">
        <v>84.5</v>
      </c>
      <c r="G342" s="15">
        <v>84.5</v>
      </c>
      <c r="H342" s="109" t="s">
        <v>15</v>
      </c>
      <c r="I342" s="54">
        <f t="shared" si="55"/>
        <v>0.10639999999999999</v>
      </c>
    </row>
    <row r="343" spans="1:9" ht="94.5" x14ac:dyDescent="0.25">
      <c r="A343" s="110"/>
      <c r="B343" s="19" t="s">
        <v>236</v>
      </c>
      <c r="C343" s="21" t="s">
        <v>14</v>
      </c>
      <c r="D343" s="15">
        <v>256.3</v>
      </c>
      <c r="E343" s="15">
        <v>256.3</v>
      </c>
      <c r="F343" s="15">
        <v>27.3</v>
      </c>
      <c r="G343" s="15">
        <v>27.3</v>
      </c>
      <c r="H343" s="109" t="s">
        <v>15</v>
      </c>
      <c r="I343" s="54">
        <f t="shared" si="55"/>
        <v>0.1065</v>
      </c>
    </row>
    <row r="344" spans="1:9" ht="94.5" x14ac:dyDescent="0.25">
      <c r="A344" s="110"/>
      <c r="B344" s="19" t="s">
        <v>237</v>
      </c>
      <c r="C344" s="21" t="s">
        <v>26</v>
      </c>
      <c r="D344" s="15">
        <v>2731.2</v>
      </c>
      <c r="E344" s="15">
        <v>2731.2</v>
      </c>
      <c r="F344" s="15">
        <v>2729.5</v>
      </c>
      <c r="G344" s="15">
        <v>2401.6999999999998</v>
      </c>
      <c r="H344" s="109" t="s">
        <v>15</v>
      </c>
      <c r="I344" s="54">
        <f t="shared" si="55"/>
        <v>0.87939999999999996</v>
      </c>
    </row>
    <row r="345" spans="1:9" ht="126" x14ac:dyDescent="0.25">
      <c r="A345" s="110"/>
      <c r="B345" s="19" t="s">
        <v>238</v>
      </c>
      <c r="C345" s="21" t="s">
        <v>14</v>
      </c>
      <c r="D345" s="15">
        <v>1887.6</v>
      </c>
      <c r="E345" s="15">
        <v>1887.6</v>
      </c>
      <c r="F345" s="15">
        <v>813</v>
      </c>
      <c r="G345" s="15">
        <v>813</v>
      </c>
      <c r="H345" s="109" t="s">
        <v>15</v>
      </c>
      <c r="I345" s="54">
        <f t="shared" si="55"/>
        <v>0.43070000000000003</v>
      </c>
    </row>
    <row r="346" spans="1:9" ht="47.25" x14ac:dyDescent="0.25">
      <c r="A346" s="110"/>
      <c r="B346" s="19" t="s">
        <v>239</v>
      </c>
      <c r="C346" s="21" t="s">
        <v>26</v>
      </c>
      <c r="D346" s="15">
        <v>129044.3</v>
      </c>
      <c r="E346" s="15">
        <v>129044.3</v>
      </c>
      <c r="F346" s="15">
        <v>27000</v>
      </c>
      <c r="G346" s="15">
        <v>27000</v>
      </c>
      <c r="H346" s="109" t="s">
        <v>15</v>
      </c>
      <c r="I346" s="54">
        <f t="shared" si="55"/>
        <v>0.2092</v>
      </c>
    </row>
    <row r="347" spans="1:9" s="2" customFormat="1" ht="94.5" x14ac:dyDescent="0.25">
      <c r="A347" s="110"/>
      <c r="B347" s="19" t="s">
        <v>298</v>
      </c>
      <c r="C347" s="21" t="s">
        <v>14</v>
      </c>
      <c r="D347" s="15">
        <v>150</v>
      </c>
      <c r="E347" s="15">
        <v>150</v>
      </c>
      <c r="F347" s="15">
        <v>150</v>
      </c>
      <c r="G347" s="15">
        <v>150</v>
      </c>
      <c r="H347" s="109" t="s">
        <v>15</v>
      </c>
      <c r="I347" s="54">
        <f t="shared" si="55"/>
        <v>1</v>
      </c>
    </row>
    <row r="348" spans="1:9" s="2" customFormat="1" ht="126" x14ac:dyDescent="0.25">
      <c r="A348" s="110"/>
      <c r="B348" s="19" t="s">
        <v>299</v>
      </c>
      <c r="C348" s="21" t="s">
        <v>26</v>
      </c>
      <c r="D348" s="15">
        <v>1400</v>
      </c>
      <c r="E348" s="15">
        <v>1400</v>
      </c>
      <c r="F348" s="15">
        <v>440.3</v>
      </c>
      <c r="G348" s="15">
        <v>440.3</v>
      </c>
      <c r="H348" s="109" t="s">
        <v>15</v>
      </c>
      <c r="I348" s="54">
        <f t="shared" si="55"/>
        <v>0.3145</v>
      </c>
    </row>
    <row r="349" spans="1:9" s="2" customFormat="1" ht="141.75" x14ac:dyDescent="0.25">
      <c r="A349" s="110"/>
      <c r="B349" s="19" t="s">
        <v>300</v>
      </c>
      <c r="C349" s="21" t="s">
        <v>14</v>
      </c>
      <c r="D349" s="15">
        <v>451.9</v>
      </c>
      <c r="E349" s="15">
        <v>451.9</v>
      </c>
      <c r="F349" s="15">
        <v>142.1</v>
      </c>
      <c r="G349" s="15">
        <v>142.1</v>
      </c>
      <c r="H349" s="109" t="s">
        <v>15</v>
      </c>
      <c r="I349" s="54">
        <f t="shared" si="55"/>
        <v>0.3145</v>
      </c>
    </row>
    <row r="350" spans="1:9" x14ac:dyDescent="0.25">
      <c r="A350" s="111"/>
      <c r="B350" s="43" t="s">
        <v>77</v>
      </c>
      <c r="C350" s="24" t="s">
        <v>33</v>
      </c>
      <c r="D350" s="25">
        <f>D351+D352</f>
        <v>138890.20000000001</v>
      </c>
      <c r="E350" s="25">
        <f>E351+E352</f>
        <v>138890.20000000001</v>
      </c>
      <c r="F350" s="25">
        <f t="shared" ref="F350:G350" si="58">F351+F352</f>
        <v>32770</v>
      </c>
      <c r="G350" s="25">
        <f t="shared" si="58"/>
        <v>32283.1</v>
      </c>
      <c r="H350" s="118" t="s">
        <v>15</v>
      </c>
      <c r="I350" s="80">
        <f t="shared" si="55"/>
        <v>0.2324</v>
      </c>
    </row>
    <row r="351" spans="1:9" ht="31.5" x14ac:dyDescent="0.25">
      <c r="A351" s="112"/>
      <c r="B351" s="96"/>
      <c r="C351" s="21" t="s">
        <v>14</v>
      </c>
      <c r="D351" s="15">
        <f>D337+D338+D339+D340+D341+D343+D345+D347+D349-0.1</f>
        <v>4920.5999999999995</v>
      </c>
      <c r="E351" s="15">
        <f>E337+E338+E339+E340+E341+E343+E345+E347+E349-0.1</f>
        <v>4920.5999999999995</v>
      </c>
      <c r="F351" s="15">
        <f t="shared" ref="F351:G351" si="59">F337+F338+F339+F340+F341+F343+F345+F347+F349</f>
        <v>2515.7000000000003</v>
      </c>
      <c r="G351" s="15">
        <f t="shared" si="59"/>
        <v>2356.6</v>
      </c>
      <c r="H351" s="109" t="s">
        <v>15</v>
      </c>
      <c r="I351" s="54">
        <f t="shared" si="55"/>
        <v>0.47889999999999999</v>
      </c>
    </row>
    <row r="352" spans="1:9" ht="47.25" x14ac:dyDescent="0.25">
      <c r="A352" s="120"/>
      <c r="B352" s="82"/>
      <c r="C352" s="21" t="s">
        <v>26</v>
      </c>
      <c r="D352" s="15">
        <f>D342+D344+D346+D348</f>
        <v>133969.60000000001</v>
      </c>
      <c r="E352" s="15">
        <f t="shared" ref="E352:G352" si="60">E342+E344+E346+E348</f>
        <v>133969.60000000001</v>
      </c>
      <c r="F352" s="15">
        <f t="shared" si="60"/>
        <v>30254.3</v>
      </c>
      <c r="G352" s="15">
        <f t="shared" si="60"/>
        <v>29926.5</v>
      </c>
      <c r="H352" s="109" t="s">
        <v>15</v>
      </c>
      <c r="I352" s="54">
        <f t="shared" si="55"/>
        <v>0.22339999999999999</v>
      </c>
    </row>
    <row r="353" spans="1:9" ht="15.75" customHeight="1" x14ac:dyDescent="0.25">
      <c r="A353" s="24">
        <v>16</v>
      </c>
      <c r="B353" s="30" t="s">
        <v>240</v>
      </c>
      <c r="C353" s="31"/>
      <c r="D353" s="31"/>
      <c r="E353" s="31"/>
      <c r="F353" s="31"/>
      <c r="G353" s="31"/>
      <c r="H353" s="31"/>
      <c r="I353" s="32"/>
    </row>
    <row r="354" spans="1:9" ht="15.75" customHeight="1" x14ac:dyDescent="0.25">
      <c r="A354" s="30" t="s">
        <v>241</v>
      </c>
      <c r="B354" s="31"/>
      <c r="C354" s="31"/>
      <c r="D354" s="31"/>
      <c r="E354" s="31"/>
      <c r="F354" s="31"/>
      <c r="G354" s="31"/>
      <c r="H354" s="31"/>
      <c r="I354" s="32"/>
    </row>
    <row r="355" spans="1:9" ht="63" x14ac:dyDescent="0.25">
      <c r="A355" s="104"/>
      <c r="B355" s="20" t="s">
        <v>242</v>
      </c>
      <c r="C355" s="21" t="s">
        <v>14</v>
      </c>
      <c r="D355" s="121">
        <v>3217</v>
      </c>
      <c r="E355" s="122">
        <v>3217</v>
      </c>
      <c r="F355" s="121">
        <v>1220</v>
      </c>
      <c r="G355" s="121">
        <v>1120.9000000000001</v>
      </c>
      <c r="H355" s="109" t="s">
        <v>15</v>
      </c>
      <c r="I355" s="54">
        <f t="shared" ref="I355:I380" si="61">ROUND(G355/E355,4)</f>
        <v>0.34839999999999999</v>
      </c>
    </row>
    <row r="356" spans="1:9" ht="63" x14ac:dyDescent="0.25">
      <c r="A356" s="104"/>
      <c r="B356" s="20" t="s">
        <v>243</v>
      </c>
      <c r="C356" s="21" t="s">
        <v>14</v>
      </c>
      <c r="D356" s="121">
        <v>6900</v>
      </c>
      <c r="E356" s="122">
        <v>6900</v>
      </c>
      <c r="F356" s="121">
        <v>2450</v>
      </c>
      <c r="G356" s="121">
        <v>2066.6999999999998</v>
      </c>
      <c r="H356" s="109" t="s">
        <v>15</v>
      </c>
      <c r="I356" s="54">
        <f t="shared" si="61"/>
        <v>0.29949999999999999</v>
      </c>
    </row>
    <row r="357" spans="1:9" ht="63" x14ac:dyDescent="0.25">
      <c r="A357" s="104"/>
      <c r="B357" s="20" t="s">
        <v>244</v>
      </c>
      <c r="C357" s="21" t="s">
        <v>14</v>
      </c>
      <c r="D357" s="121">
        <v>464</v>
      </c>
      <c r="E357" s="122">
        <v>464</v>
      </c>
      <c r="F357" s="121">
        <v>193.3</v>
      </c>
      <c r="G357" s="121">
        <v>193.3</v>
      </c>
      <c r="H357" s="109" t="s">
        <v>15</v>
      </c>
      <c r="I357" s="54">
        <f t="shared" si="61"/>
        <v>0.41660000000000003</v>
      </c>
    </row>
    <row r="358" spans="1:9" ht="63" x14ac:dyDescent="0.25">
      <c r="A358" s="104"/>
      <c r="B358" s="20" t="s">
        <v>245</v>
      </c>
      <c r="C358" s="21" t="s">
        <v>14</v>
      </c>
      <c r="D358" s="121">
        <v>700</v>
      </c>
      <c r="E358" s="122">
        <v>700</v>
      </c>
      <c r="F358" s="121">
        <v>270</v>
      </c>
      <c r="G358" s="121">
        <v>270</v>
      </c>
      <c r="H358" s="109" t="s">
        <v>15</v>
      </c>
      <c r="I358" s="54">
        <f t="shared" si="61"/>
        <v>0.38569999999999999</v>
      </c>
    </row>
    <row r="359" spans="1:9" ht="31.5" x14ac:dyDescent="0.25">
      <c r="A359" s="104"/>
      <c r="B359" s="20" t="s">
        <v>246</v>
      </c>
      <c r="C359" s="21" t="s">
        <v>14</v>
      </c>
      <c r="D359" s="121">
        <v>1120.9000000000001</v>
      </c>
      <c r="E359" s="122">
        <v>1120.9000000000001</v>
      </c>
      <c r="F359" s="121">
        <v>779.9</v>
      </c>
      <c r="G359" s="121">
        <v>179.9</v>
      </c>
      <c r="H359" s="109" t="s">
        <v>15</v>
      </c>
      <c r="I359" s="54">
        <f t="shared" si="61"/>
        <v>0.1605</v>
      </c>
    </row>
    <row r="360" spans="1:9" ht="63" x14ac:dyDescent="0.25">
      <c r="A360" s="104"/>
      <c r="B360" s="20" t="s">
        <v>247</v>
      </c>
      <c r="C360" s="21" t="s">
        <v>26</v>
      </c>
      <c r="D360" s="121">
        <v>1368.2</v>
      </c>
      <c r="E360" s="121">
        <v>1368.2</v>
      </c>
      <c r="F360" s="121">
        <v>587.5</v>
      </c>
      <c r="G360" s="121">
        <v>587.5</v>
      </c>
      <c r="H360" s="109" t="s">
        <v>15</v>
      </c>
      <c r="I360" s="54">
        <f t="shared" si="61"/>
        <v>0.4294</v>
      </c>
    </row>
    <row r="361" spans="1:9" ht="47.25" x14ac:dyDescent="0.25">
      <c r="A361" s="104"/>
      <c r="B361" s="20" t="s">
        <v>248</v>
      </c>
      <c r="C361" s="21" t="s">
        <v>14</v>
      </c>
      <c r="D361" s="121">
        <v>2146</v>
      </c>
      <c r="E361" s="122">
        <v>2146</v>
      </c>
      <c r="F361" s="121">
        <v>921.6</v>
      </c>
      <c r="G361" s="121">
        <v>921.6</v>
      </c>
      <c r="H361" s="109" t="s">
        <v>15</v>
      </c>
      <c r="I361" s="54">
        <f t="shared" si="61"/>
        <v>0.42949999999999999</v>
      </c>
    </row>
    <row r="362" spans="1:9" ht="47.25" x14ac:dyDescent="0.25">
      <c r="A362" s="83"/>
      <c r="B362" s="22" t="s">
        <v>249</v>
      </c>
      <c r="C362" s="21" t="s">
        <v>14</v>
      </c>
      <c r="D362" s="121">
        <v>580</v>
      </c>
      <c r="E362" s="121">
        <v>580</v>
      </c>
      <c r="F362" s="122">
        <v>50</v>
      </c>
      <c r="G362" s="121">
        <v>26.8</v>
      </c>
      <c r="H362" s="109" t="s">
        <v>15</v>
      </c>
      <c r="I362" s="54">
        <f t="shared" si="61"/>
        <v>4.6199999999999998E-2</v>
      </c>
    </row>
    <row r="363" spans="1:9" ht="63" x14ac:dyDescent="0.25">
      <c r="A363" s="83"/>
      <c r="B363" s="21" t="s">
        <v>250</v>
      </c>
      <c r="C363" s="21" t="s">
        <v>14</v>
      </c>
      <c r="D363" s="121">
        <v>2067.4</v>
      </c>
      <c r="E363" s="122">
        <v>2067.4</v>
      </c>
      <c r="F363" s="121">
        <v>900</v>
      </c>
      <c r="G363" s="121">
        <v>856.8</v>
      </c>
      <c r="H363" s="109" t="s">
        <v>15</v>
      </c>
      <c r="I363" s="54">
        <f t="shared" si="61"/>
        <v>0.41439999999999999</v>
      </c>
    </row>
    <row r="364" spans="1:9" ht="63" x14ac:dyDescent="0.25">
      <c r="A364" s="84"/>
      <c r="B364" s="23" t="s">
        <v>251</v>
      </c>
      <c r="C364" s="21" t="s">
        <v>14</v>
      </c>
      <c r="D364" s="121">
        <v>3540</v>
      </c>
      <c r="E364" s="122">
        <v>3540</v>
      </c>
      <c r="F364" s="121">
        <v>607</v>
      </c>
      <c r="G364" s="121">
        <v>547</v>
      </c>
      <c r="H364" s="109" t="s">
        <v>15</v>
      </c>
      <c r="I364" s="54">
        <f t="shared" si="61"/>
        <v>0.1545</v>
      </c>
    </row>
    <row r="365" spans="1:9" ht="126" x14ac:dyDescent="0.25">
      <c r="A365" s="84"/>
      <c r="B365" s="23" t="s">
        <v>252</v>
      </c>
      <c r="C365" s="21" t="s">
        <v>26</v>
      </c>
      <c r="D365" s="123">
        <v>4600</v>
      </c>
      <c r="E365" s="123">
        <v>4600</v>
      </c>
      <c r="F365" s="122">
        <v>1380</v>
      </c>
      <c r="G365" s="121">
        <v>1380</v>
      </c>
      <c r="H365" s="109" t="s">
        <v>15</v>
      </c>
      <c r="I365" s="54">
        <f t="shared" si="61"/>
        <v>0.3</v>
      </c>
    </row>
    <row r="366" spans="1:9" ht="94.5" x14ac:dyDescent="0.25">
      <c r="A366" s="84"/>
      <c r="B366" s="23" t="s">
        <v>253</v>
      </c>
      <c r="C366" s="21" t="s">
        <v>26</v>
      </c>
      <c r="D366" s="123">
        <v>2500</v>
      </c>
      <c r="E366" s="123">
        <v>2500</v>
      </c>
      <c r="F366" s="122">
        <v>750</v>
      </c>
      <c r="G366" s="121">
        <v>750</v>
      </c>
      <c r="H366" s="109" t="s">
        <v>15</v>
      </c>
      <c r="I366" s="54">
        <f t="shared" si="61"/>
        <v>0.3</v>
      </c>
    </row>
    <row r="367" spans="1:9" ht="126" x14ac:dyDescent="0.25">
      <c r="A367" s="84"/>
      <c r="B367" s="23" t="s">
        <v>254</v>
      </c>
      <c r="C367" s="21" t="s">
        <v>26</v>
      </c>
      <c r="D367" s="123">
        <v>400</v>
      </c>
      <c r="E367" s="123">
        <v>400</v>
      </c>
      <c r="F367" s="122">
        <v>120</v>
      </c>
      <c r="G367" s="121">
        <v>120</v>
      </c>
      <c r="H367" s="109" t="s">
        <v>15</v>
      </c>
      <c r="I367" s="54">
        <f t="shared" si="61"/>
        <v>0.3</v>
      </c>
    </row>
    <row r="368" spans="1:9" ht="126" x14ac:dyDescent="0.25">
      <c r="A368" s="84"/>
      <c r="B368" s="23" t="s">
        <v>255</v>
      </c>
      <c r="C368" s="21" t="s">
        <v>26</v>
      </c>
      <c r="D368" s="123">
        <v>600</v>
      </c>
      <c r="E368" s="123">
        <v>600</v>
      </c>
      <c r="F368" s="122">
        <v>180</v>
      </c>
      <c r="G368" s="121">
        <v>180</v>
      </c>
      <c r="H368" s="109" t="s">
        <v>15</v>
      </c>
      <c r="I368" s="54">
        <f t="shared" si="61"/>
        <v>0.3</v>
      </c>
    </row>
    <row r="369" spans="1:9" ht="110.25" x14ac:dyDescent="0.25">
      <c r="A369" s="84"/>
      <c r="B369" s="23" t="s">
        <v>256</v>
      </c>
      <c r="C369" s="21" t="s">
        <v>26</v>
      </c>
      <c r="D369" s="123">
        <v>900</v>
      </c>
      <c r="E369" s="123">
        <v>900</v>
      </c>
      <c r="F369" s="122">
        <v>270</v>
      </c>
      <c r="G369" s="121">
        <v>270</v>
      </c>
      <c r="H369" s="109" t="s">
        <v>15</v>
      </c>
      <c r="I369" s="54">
        <f t="shared" si="61"/>
        <v>0.3</v>
      </c>
    </row>
    <row r="370" spans="1:9" ht="94.5" x14ac:dyDescent="0.25">
      <c r="A370" s="84"/>
      <c r="B370" s="23" t="s">
        <v>257</v>
      </c>
      <c r="C370" s="21" t="s">
        <v>14</v>
      </c>
      <c r="D370" s="124">
        <v>2086.8000000000002</v>
      </c>
      <c r="E370" s="124">
        <v>2086.8000000000002</v>
      </c>
      <c r="F370" s="121">
        <v>1168.5999999999999</v>
      </c>
      <c r="G370" s="121">
        <v>1168.5999999999999</v>
      </c>
      <c r="H370" s="109" t="s">
        <v>15</v>
      </c>
      <c r="I370" s="54">
        <f t="shared" si="61"/>
        <v>0.56000000000000005</v>
      </c>
    </row>
    <row r="371" spans="1:9" ht="78.75" x14ac:dyDescent="0.25">
      <c r="A371" s="84"/>
      <c r="B371" s="23" t="s">
        <v>258</v>
      </c>
      <c r="C371" s="21" t="s">
        <v>14</v>
      </c>
      <c r="D371" s="124">
        <v>2445.8000000000002</v>
      </c>
      <c r="E371" s="124">
        <v>2445.8000000000002</v>
      </c>
      <c r="F371" s="121">
        <v>1369.7</v>
      </c>
      <c r="G371" s="121">
        <v>1369.7</v>
      </c>
      <c r="H371" s="109" t="s">
        <v>15</v>
      </c>
      <c r="I371" s="54">
        <f t="shared" si="61"/>
        <v>0.56000000000000005</v>
      </c>
    </row>
    <row r="372" spans="1:9" ht="110.25" x14ac:dyDescent="0.25">
      <c r="A372" s="84"/>
      <c r="B372" s="23" t="s">
        <v>259</v>
      </c>
      <c r="C372" s="21" t="s">
        <v>14</v>
      </c>
      <c r="D372" s="124">
        <v>278.89999999999998</v>
      </c>
      <c r="E372" s="124">
        <v>278.89999999999998</v>
      </c>
      <c r="F372" s="121">
        <v>156.19999999999999</v>
      </c>
      <c r="G372" s="121">
        <v>156.19999999999999</v>
      </c>
      <c r="H372" s="109" t="s">
        <v>15</v>
      </c>
      <c r="I372" s="54">
        <f t="shared" si="61"/>
        <v>0.56010000000000004</v>
      </c>
    </row>
    <row r="373" spans="1:9" ht="110.25" x14ac:dyDescent="0.25">
      <c r="A373" s="84"/>
      <c r="B373" s="23" t="s">
        <v>260</v>
      </c>
      <c r="C373" s="21" t="s">
        <v>14</v>
      </c>
      <c r="D373" s="124">
        <v>356.6</v>
      </c>
      <c r="E373" s="124">
        <v>356.6</v>
      </c>
      <c r="F373" s="121">
        <v>199.7</v>
      </c>
      <c r="G373" s="121">
        <v>199.7</v>
      </c>
      <c r="H373" s="109" t="s">
        <v>15</v>
      </c>
      <c r="I373" s="54">
        <f t="shared" si="61"/>
        <v>0.56000000000000005</v>
      </c>
    </row>
    <row r="374" spans="1:9" ht="78.75" x14ac:dyDescent="0.25">
      <c r="A374" s="84"/>
      <c r="B374" s="23" t="s">
        <v>261</v>
      </c>
      <c r="C374" s="21" t="s">
        <v>14</v>
      </c>
      <c r="D374" s="124">
        <v>528.5</v>
      </c>
      <c r="E374" s="124">
        <v>528.5</v>
      </c>
      <c r="F374" s="121">
        <v>295.89999999999998</v>
      </c>
      <c r="G374" s="121">
        <v>295.89999999999998</v>
      </c>
      <c r="H374" s="109" t="s">
        <v>15</v>
      </c>
      <c r="I374" s="54">
        <f t="shared" si="61"/>
        <v>0.55989999999999995</v>
      </c>
    </row>
    <row r="375" spans="1:9" ht="47.25" x14ac:dyDescent="0.25">
      <c r="A375" s="84"/>
      <c r="B375" s="23" t="s">
        <v>262</v>
      </c>
      <c r="C375" s="21" t="s">
        <v>203</v>
      </c>
      <c r="D375" s="121">
        <v>700</v>
      </c>
      <c r="E375" s="121">
        <v>700</v>
      </c>
      <c r="F375" s="121">
        <v>700</v>
      </c>
      <c r="G375" s="121">
        <v>700</v>
      </c>
      <c r="H375" s="109" t="s">
        <v>15</v>
      </c>
      <c r="I375" s="54">
        <f t="shared" si="61"/>
        <v>1</v>
      </c>
    </row>
    <row r="376" spans="1:9" x14ac:dyDescent="0.25">
      <c r="A376" s="63"/>
      <c r="B376" s="43" t="s">
        <v>32</v>
      </c>
      <c r="C376" s="24" t="s">
        <v>33</v>
      </c>
      <c r="D376" s="25">
        <f>D377+D378+D379+D380</f>
        <v>37500.100000000006</v>
      </c>
      <c r="E376" s="25">
        <f>E377+E378+E379+E380</f>
        <v>37500.100000000006</v>
      </c>
      <c r="F376" s="25">
        <f>F377+F378+F379+F380</f>
        <v>14569.400000000001</v>
      </c>
      <c r="G376" s="25">
        <f>G377+G378+G379+G380</f>
        <v>13360.6</v>
      </c>
      <c r="H376" s="109" t="s">
        <v>15</v>
      </c>
      <c r="I376" s="54">
        <f t="shared" si="61"/>
        <v>0.35630000000000001</v>
      </c>
    </row>
    <row r="377" spans="1:9" ht="31.5" hidden="1" x14ac:dyDescent="0.25">
      <c r="A377" s="64"/>
      <c r="B377" s="85"/>
      <c r="C377" s="21" t="s">
        <v>28</v>
      </c>
      <c r="D377" s="15">
        <v>0</v>
      </c>
      <c r="E377" s="15">
        <v>0</v>
      </c>
      <c r="F377" s="15">
        <v>0</v>
      </c>
      <c r="G377" s="15">
        <v>0</v>
      </c>
      <c r="H377" s="109" t="s">
        <v>15</v>
      </c>
      <c r="I377" s="54">
        <v>0</v>
      </c>
    </row>
    <row r="378" spans="1:9" ht="47.25" x14ac:dyDescent="0.25">
      <c r="A378" s="64"/>
      <c r="B378" s="85"/>
      <c r="C378" s="21" t="s">
        <v>26</v>
      </c>
      <c r="D378" s="15">
        <f>D360+D369+D368+D367+D366+D365</f>
        <v>10368.200000000001</v>
      </c>
      <c r="E378" s="15">
        <f t="shared" ref="E378:G378" si="62">E360+E369+E368+E367+E366+E365</f>
        <v>10368.200000000001</v>
      </c>
      <c r="F378" s="15">
        <f t="shared" si="62"/>
        <v>3287.5</v>
      </c>
      <c r="G378" s="15">
        <f t="shared" si="62"/>
        <v>3287.5</v>
      </c>
      <c r="H378" s="109" t="s">
        <v>15</v>
      </c>
      <c r="I378" s="54">
        <f t="shared" si="61"/>
        <v>0.31709999999999999</v>
      </c>
    </row>
    <row r="379" spans="1:9" ht="31.5" x14ac:dyDescent="0.25">
      <c r="A379" s="64"/>
      <c r="B379" s="59"/>
      <c r="C379" s="19" t="s">
        <v>14</v>
      </c>
      <c r="D379" s="18">
        <f>D374+D373+D372+D371+D370+D364+D363+D362+D361+D359+D358+D357+D356+D355</f>
        <v>26431.9</v>
      </c>
      <c r="E379" s="18">
        <f t="shared" ref="E379:G379" si="63">E374+E373+E372+E371+E370+E364+E363+E362+E361+E359+E358+E357+E356+E355</f>
        <v>26431.9</v>
      </c>
      <c r="F379" s="18">
        <f>F374+F373+F372+F371+F370+F364+F363+F362+F361+F359+F358+F357+F356+F355</f>
        <v>10581.900000000001</v>
      </c>
      <c r="G379" s="18">
        <f t="shared" si="63"/>
        <v>9373.1</v>
      </c>
      <c r="H379" s="109" t="s">
        <v>15</v>
      </c>
      <c r="I379" s="54">
        <f t="shared" si="61"/>
        <v>0.35460000000000003</v>
      </c>
    </row>
    <row r="380" spans="1:9" ht="31.5" x14ac:dyDescent="0.25">
      <c r="A380" s="125"/>
      <c r="B380" s="82"/>
      <c r="C380" s="21" t="s">
        <v>203</v>
      </c>
      <c r="D380" s="15">
        <f>D375</f>
        <v>700</v>
      </c>
      <c r="E380" s="15">
        <f t="shared" ref="E380:G380" si="64">E375</f>
        <v>700</v>
      </c>
      <c r="F380" s="15">
        <f t="shared" si="64"/>
        <v>700</v>
      </c>
      <c r="G380" s="15">
        <f t="shared" si="64"/>
        <v>700</v>
      </c>
      <c r="H380" s="109" t="s">
        <v>15</v>
      </c>
      <c r="I380" s="54">
        <f t="shared" si="61"/>
        <v>1</v>
      </c>
    </row>
    <row r="381" spans="1:9" ht="15.75" customHeight="1" x14ac:dyDescent="0.25">
      <c r="A381" s="30" t="s">
        <v>263</v>
      </c>
      <c r="B381" s="31"/>
      <c r="C381" s="31"/>
      <c r="D381" s="31"/>
      <c r="E381" s="31"/>
      <c r="F381" s="31"/>
      <c r="G381" s="31"/>
      <c r="H381" s="31"/>
      <c r="I381" s="32"/>
    </row>
    <row r="382" spans="1:9" ht="63" x14ac:dyDescent="0.25">
      <c r="A382" s="104"/>
      <c r="B382" s="20" t="s">
        <v>264</v>
      </c>
      <c r="C382" s="21" t="s">
        <v>14</v>
      </c>
      <c r="D382" s="121">
        <v>2023.7</v>
      </c>
      <c r="E382" s="122">
        <v>2023.7</v>
      </c>
      <c r="F382" s="121">
        <v>239.7</v>
      </c>
      <c r="G382" s="121">
        <v>239.7</v>
      </c>
      <c r="H382" s="109" t="s">
        <v>15</v>
      </c>
      <c r="I382" s="54">
        <f t="shared" ref="I382:I390" si="65">ROUND(G382/E382,4)</f>
        <v>0.11840000000000001</v>
      </c>
    </row>
    <row r="383" spans="1:9" ht="63" x14ac:dyDescent="0.25">
      <c r="A383" s="104"/>
      <c r="B383" s="20" t="s">
        <v>265</v>
      </c>
      <c r="C383" s="21" t="s">
        <v>14</v>
      </c>
      <c r="D383" s="121">
        <v>1740</v>
      </c>
      <c r="E383" s="122">
        <v>1740</v>
      </c>
      <c r="F383" s="121">
        <v>208</v>
      </c>
      <c r="G383" s="121">
        <v>150</v>
      </c>
      <c r="H383" s="109" t="s">
        <v>15</v>
      </c>
      <c r="I383" s="54">
        <f t="shared" si="65"/>
        <v>8.6199999999999999E-2</v>
      </c>
    </row>
    <row r="384" spans="1:9" ht="47.25" x14ac:dyDescent="0.25">
      <c r="A384" s="104"/>
      <c r="B384" s="20" t="s">
        <v>266</v>
      </c>
      <c r="C384" s="21" t="s">
        <v>26</v>
      </c>
      <c r="D384" s="121">
        <v>9705.2999999999993</v>
      </c>
      <c r="E384" s="122">
        <v>9705.2999999999993</v>
      </c>
      <c r="F384" s="121">
        <v>0</v>
      </c>
      <c r="G384" s="121">
        <v>0</v>
      </c>
      <c r="H384" s="109" t="s">
        <v>15</v>
      </c>
      <c r="I384" s="54">
        <f t="shared" si="65"/>
        <v>0</v>
      </c>
    </row>
    <row r="385" spans="1:9" ht="31.5" x14ac:dyDescent="0.25">
      <c r="A385" s="104"/>
      <c r="B385" s="20" t="s">
        <v>267</v>
      </c>
      <c r="C385" s="21" t="s">
        <v>203</v>
      </c>
      <c r="D385" s="121">
        <v>4500</v>
      </c>
      <c r="E385" s="122">
        <v>4500</v>
      </c>
      <c r="F385" s="121">
        <v>0</v>
      </c>
      <c r="G385" s="121">
        <v>0</v>
      </c>
      <c r="H385" s="109" t="s">
        <v>15</v>
      </c>
      <c r="I385" s="54">
        <f t="shared" si="65"/>
        <v>0</v>
      </c>
    </row>
    <row r="386" spans="1:9" ht="47.25" x14ac:dyDescent="0.25">
      <c r="A386" s="104"/>
      <c r="B386" s="20" t="s">
        <v>268</v>
      </c>
      <c r="C386" s="21" t="s">
        <v>14</v>
      </c>
      <c r="D386" s="121">
        <v>1000</v>
      </c>
      <c r="E386" s="122">
        <v>1000</v>
      </c>
      <c r="F386" s="121">
        <v>135</v>
      </c>
      <c r="G386" s="121">
        <v>0</v>
      </c>
      <c r="H386" s="109" t="s">
        <v>15</v>
      </c>
      <c r="I386" s="54">
        <f t="shared" si="65"/>
        <v>0</v>
      </c>
    </row>
    <row r="387" spans="1:9" x14ac:dyDescent="0.25">
      <c r="A387" s="70"/>
      <c r="B387" s="42" t="s">
        <v>32</v>
      </c>
      <c r="C387" s="24" t="s">
        <v>33</v>
      </c>
      <c r="D387" s="25">
        <f>D390+D388+D389</f>
        <v>18969</v>
      </c>
      <c r="E387" s="25">
        <f>E390+E388+E389</f>
        <v>18969</v>
      </c>
      <c r="F387" s="25">
        <f>F390+F388+F389</f>
        <v>582.70000000000005</v>
      </c>
      <c r="G387" s="25">
        <f>G390+G388+G389</f>
        <v>389.7</v>
      </c>
      <c r="H387" s="109" t="s">
        <v>15</v>
      </c>
      <c r="I387" s="54">
        <f t="shared" si="65"/>
        <v>2.0500000000000001E-2</v>
      </c>
    </row>
    <row r="388" spans="1:9" ht="47.25" x14ac:dyDescent="0.25">
      <c r="A388" s="70"/>
      <c r="B388" s="42"/>
      <c r="C388" s="21" t="s">
        <v>26</v>
      </c>
      <c r="D388" s="15">
        <f t="shared" ref="D388:G389" si="66">D384</f>
        <v>9705.2999999999993</v>
      </c>
      <c r="E388" s="15">
        <f t="shared" si="66"/>
        <v>9705.2999999999993</v>
      </c>
      <c r="F388" s="15">
        <f t="shared" si="66"/>
        <v>0</v>
      </c>
      <c r="G388" s="15">
        <f t="shared" si="66"/>
        <v>0</v>
      </c>
      <c r="H388" s="109" t="s">
        <v>15</v>
      </c>
      <c r="I388" s="54">
        <f t="shared" si="65"/>
        <v>0</v>
      </c>
    </row>
    <row r="389" spans="1:9" ht="31.5" x14ac:dyDescent="0.25">
      <c r="A389" s="70"/>
      <c r="B389" s="42"/>
      <c r="C389" s="21" t="s">
        <v>203</v>
      </c>
      <c r="D389" s="15">
        <f t="shared" si="66"/>
        <v>4500</v>
      </c>
      <c r="E389" s="15">
        <f t="shared" si="66"/>
        <v>4500</v>
      </c>
      <c r="F389" s="15">
        <f t="shared" si="66"/>
        <v>0</v>
      </c>
      <c r="G389" s="15">
        <f t="shared" si="66"/>
        <v>0</v>
      </c>
      <c r="H389" s="109" t="s">
        <v>15</v>
      </c>
      <c r="I389" s="54">
        <f t="shared" si="65"/>
        <v>0</v>
      </c>
    </row>
    <row r="390" spans="1:9" ht="31.5" x14ac:dyDescent="0.25">
      <c r="A390" s="70"/>
      <c r="B390" s="73"/>
      <c r="C390" s="21" t="s">
        <v>14</v>
      </c>
      <c r="D390" s="15">
        <f>D382+D383+D386</f>
        <v>4763.7</v>
      </c>
      <c r="E390" s="15">
        <f>E382+E383+E386</f>
        <v>4763.7</v>
      </c>
      <c r="F390" s="15">
        <f>F382+F383+F386</f>
        <v>582.70000000000005</v>
      </c>
      <c r="G390" s="15">
        <f>G382+G383+G386</f>
        <v>389.7</v>
      </c>
      <c r="H390" s="109" t="s">
        <v>15</v>
      </c>
      <c r="I390" s="54">
        <f t="shared" si="65"/>
        <v>8.1799999999999998E-2</v>
      </c>
    </row>
    <row r="391" spans="1:9" ht="15.75" customHeight="1" x14ac:dyDescent="0.25">
      <c r="A391" s="30" t="s">
        <v>269</v>
      </c>
      <c r="B391" s="31"/>
      <c r="C391" s="31"/>
      <c r="D391" s="31"/>
      <c r="E391" s="31"/>
      <c r="F391" s="31"/>
      <c r="G391" s="31"/>
      <c r="H391" s="31"/>
      <c r="I391" s="32"/>
    </row>
    <row r="392" spans="1:9" ht="63" x14ac:dyDescent="0.25">
      <c r="A392" s="110"/>
      <c r="B392" s="23" t="s">
        <v>270</v>
      </c>
      <c r="C392" s="21" t="s">
        <v>14</v>
      </c>
      <c r="D392" s="15">
        <v>10700</v>
      </c>
      <c r="E392" s="15">
        <v>10700</v>
      </c>
      <c r="F392" s="15">
        <v>6503.6</v>
      </c>
      <c r="G392" s="15">
        <v>5781.2</v>
      </c>
      <c r="H392" s="109" t="s">
        <v>15</v>
      </c>
      <c r="I392" s="54">
        <f t="shared" ref="I392:I396" si="67">ROUND(G392/E392,4)</f>
        <v>0.5403</v>
      </c>
    </row>
    <row r="393" spans="1:9" ht="31.5" x14ac:dyDescent="0.25">
      <c r="A393" s="110"/>
      <c r="B393" s="23" t="s">
        <v>271</v>
      </c>
      <c r="C393" s="21" t="s">
        <v>14</v>
      </c>
      <c r="D393" s="15">
        <v>1050</v>
      </c>
      <c r="E393" s="15">
        <v>1050</v>
      </c>
      <c r="F393" s="15">
        <v>573.4</v>
      </c>
      <c r="G393" s="15">
        <v>454.3</v>
      </c>
      <c r="H393" s="109" t="s">
        <v>15</v>
      </c>
      <c r="I393" s="54">
        <f t="shared" si="67"/>
        <v>0.43269999999999997</v>
      </c>
    </row>
    <row r="394" spans="1:9" ht="78.75" x14ac:dyDescent="0.25">
      <c r="A394" s="110"/>
      <c r="B394" s="23" t="s">
        <v>272</v>
      </c>
      <c r="C394" s="21" t="s">
        <v>14</v>
      </c>
      <c r="D394" s="15">
        <v>4051</v>
      </c>
      <c r="E394" s="15">
        <v>4051</v>
      </c>
      <c r="F394" s="15">
        <v>0</v>
      </c>
      <c r="G394" s="15">
        <v>0</v>
      </c>
      <c r="H394" s="109" t="s">
        <v>15</v>
      </c>
      <c r="I394" s="54">
        <f t="shared" si="67"/>
        <v>0</v>
      </c>
    </row>
    <row r="395" spans="1:9" x14ac:dyDescent="0.25">
      <c r="A395" s="106"/>
      <c r="B395" s="126" t="s">
        <v>32</v>
      </c>
      <c r="C395" s="24" t="s">
        <v>33</v>
      </c>
      <c r="D395" s="25">
        <f>D396</f>
        <v>15801</v>
      </c>
      <c r="E395" s="25">
        <f t="shared" ref="E395:G395" si="68">E396</f>
        <v>15801</v>
      </c>
      <c r="F395" s="25">
        <f t="shared" si="68"/>
        <v>7077</v>
      </c>
      <c r="G395" s="25">
        <f t="shared" si="68"/>
        <v>6235.5</v>
      </c>
      <c r="H395" s="118" t="s">
        <v>15</v>
      </c>
      <c r="I395" s="80">
        <f t="shared" si="67"/>
        <v>0.39460000000000001</v>
      </c>
    </row>
    <row r="396" spans="1:9" ht="31.5" x14ac:dyDescent="0.25">
      <c r="A396" s="127"/>
      <c r="B396" s="128"/>
      <c r="C396" s="21" t="s">
        <v>14</v>
      </c>
      <c r="D396" s="15">
        <f>D392+D393+D394</f>
        <v>15801</v>
      </c>
      <c r="E396" s="15">
        <f t="shared" ref="E396:G396" si="69">E392+E393+E394</f>
        <v>15801</v>
      </c>
      <c r="F396" s="15">
        <f t="shared" si="69"/>
        <v>7077</v>
      </c>
      <c r="G396" s="15">
        <f t="shared" si="69"/>
        <v>6235.5</v>
      </c>
      <c r="H396" s="109" t="s">
        <v>15</v>
      </c>
      <c r="I396" s="54">
        <f t="shared" si="67"/>
        <v>0.39460000000000001</v>
      </c>
    </row>
    <row r="397" spans="1:9" ht="15.75" customHeight="1" x14ac:dyDescent="0.25">
      <c r="A397" s="30" t="s">
        <v>273</v>
      </c>
      <c r="B397" s="31"/>
      <c r="C397" s="31"/>
      <c r="D397" s="31"/>
      <c r="E397" s="31"/>
      <c r="F397" s="31"/>
      <c r="G397" s="31"/>
      <c r="H397" s="31"/>
      <c r="I397" s="32"/>
    </row>
    <row r="398" spans="1:9" ht="126" x14ac:dyDescent="0.25">
      <c r="A398" s="104"/>
      <c r="B398" s="20" t="s">
        <v>274</v>
      </c>
      <c r="C398" s="21" t="s">
        <v>14</v>
      </c>
      <c r="D398" s="121">
        <v>10000</v>
      </c>
      <c r="E398" s="121">
        <v>10000</v>
      </c>
      <c r="F398" s="121">
        <v>4950.2</v>
      </c>
      <c r="G398" s="121">
        <v>4950.2</v>
      </c>
      <c r="H398" s="109" t="s">
        <v>15</v>
      </c>
      <c r="I398" s="54">
        <f t="shared" ref="I398:I400" si="70">ROUND(G398/E398,4)</f>
        <v>0.495</v>
      </c>
    </row>
    <row r="399" spans="1:9" x14ac:dyDescent="0.25">
      <c r="A399" s="70"/>
      <c r="B399" s="42" t="s">
        <v>32</v>
      </c>
      <c r="C399" s="24" t="s">
        <v>33</v>
      </c>
      <c r="D399" s="25">
        <f>D400</f>
        <v>10000</v>
      </c>
      <c r="E399" s="25">
        <f>E400</f>
        <v>10000</v>
      </c>
      <c r="F399" s="25">
        <f>F400</f>
        <v>4950.2</v>
      </c>
      <c r="G399" s="25">
        <f>G400</f>
        <v>4950.2</v>
      </c>
      <c r="H399" s="109" t="s">
        <v>15</v>
      </c>
      <c r="I399" s="54">
        <f t="shared" si="70"/>
        <v>0.495</v>
      </c>
    </row>
    <row r="400" spans="1:9" ht="31.5" x14ac:dyDescent="0.25">
      <c r="A400" s="70"/>
      <c r="B400" s="73"/>
      <c r="C400" s="21" t="s">
        <v>14</v>
      </c>
      <c r="D400" s="15">
        <f>D398</f>
        <v>10000</v>
      </c>
      <c r="E400" s="15">
        <f>E398</f>
        <v>10000</v>
      </c>
      <c r="F400" s="15">
        <f>F398</f>
        <v>4950.2</v>
      </c>
      <c r="G400" s="15">
        <f>G398</f>
        <v>4950.2</v>
      </c>
      <c r="H400" s="109" t="s">
        <v>15</v>
      </c>
      <c r="I400" s="54">
        <f t="shared" si="70"/>
        <v>0.495</v>
      </c>
    </row>
    <row r="401" spans="1:9" ht="15.75" customHeight="1" x14ac:dyDescent="0.25">
      <c r="A401" s="30" t="s">
        <v>275</v>
      </c>
      <c r="B401" s="31"/>
      <c r="C401" s="31"/>
      <c r="D401" s="31"/>
      <c r="E401" s="31"/>
      <c r="F401" s="31"/>
      <c r="G401" s="31"/>
      <c r="H401" s="31"/>
      <c r="I401" s="32"/>
    </row>
    <row r="402" spans="1:9" ht="63" x14ac:dyDescent="0.25">
      <c r="A402" s="129"/>
      <c r="B402" s="19" t="s">
        <v>276</v>
      </c>
      <c r="C402" s="21" t="s">
        <v>14</v>
      </c>
      <c r="D402" s="15">
        <v>24906.400000000001</v>
      </c>
      <c r="E402" s="15">
        <v>24906.400000000001</v>
      </c>
      <c r="F402" s="15">
        <v>0</v>
      </c>
      <c r="G402" s="15">
        <v>0</v>
      </c>
      <c r="H402" s="109" t="s">
        <v>15</v>
      </c>
      <c r="I402" s="54">
        <f t="shared" ref="I402:I404" si="71">ROUND(G402/E402,4)</f>
        <v>0</v>
      </c>
    </row>
    <row r="403" spans="1:9" x14ac:dyDescent="0.25">
      <c r="A403" s="106"/>
      <c r="B403" s="43" t="s">
        <v>32</v>
      </c>
      <c r="C403" s="24" t="s">
        <v>33</v>
      </c>
      <c r="D403" s="25">
        <f>D404</f>
        <v>24906.400000000001</v>
      </c>
      <c r="E403" s="25">
        <f>E404</f>
        <v>24906.400000000001</v>
      </c>
      <c r="F403" s="25">
        <f>F404</f>
        <v>0</v>
      </c>
      <c r="G403" s="25">
        <f>G404</f>
        <v>0</v>
      </c>
      <c r="H403" s="118" t="s">
        <v>15</v>
      </c>
      <c r="I403" s="80">
        <f t="shared" si="71"/>
        <v>0</v>
      </c>
    </row>
    <row r="404" spans="1:9" ht="31.5" x14ac:dyDescent="0.25">
      <c r="A404" s="130"/>
      <c r="B404" s="82"/>
      <c r="C404" s="21" t="s">
        <v>14</v>
      </c>
      <c r="D404" s="15">
        <f>D402</f>
        <v>24906.400000000001</v>
      </c>
      <c r="E404" s="15">
        <f>E402</f>
        <v>24906.400000000001</v>
      </c>
      <c r="F404" s="15">
        <f>F402</f>
        <v>0</v>
      </c>
      <c r="G404" s="15">
        <f>G402</f>
        <v>0</v>
      </c>
      <c r="H404" s="109" t="s">
        <v>15</v>
      </c>
      <c r="I404" s="54">
        <f t="shared" si="71"/>
        <v>0</v>
      </c>
    </row>
    <row r="405" spans="1:9" ht="15.75" customHeight="1" x14ac:dyDescent="0.25">
      <c r="A405" s="30" t="s">
        <v>277</v>
      </c>
      <c r="B405" s="31"/>
      <c r="C405" s="31"/>
      <c r="D405" s="31"/>
      <c r="E405" s="31"/>
      <c r="F405" s="31"/>
      <c r="G405" s="31"/>
      <c r="H405" s="31"/>
      <c r="I405" s="32"/>
    </row>
    <row r="406" spans="1:9" ht="252" x14ac:dyDescent="0.25">
      <c r="A406" s="131"/>
      <c r="B406" s="21" t="s">
        <v>278</v>
      </c>
      <c r="C406" s="21" t="s">
        <v>14</v>
      </c>
      <c r="D406" s="15">
        <v>5900</v>
      </c>
      <c r="E406" s="15">
        <v>5900</v>
      </c>
      <c r="F406" s="15">
        <v>0</v>
      </c>
      <c r="G406" s="15">
        <v>0</v>
      </c>
      <c r="H406" s="109" t="s">
        <v>15</v>
      </c>
      <c r="I406" s="54">
        <f t="shared" ref="I406:I408" si="72">ROUND(G406/E406,4)</f>
        <v>0</v>
      </c>
    </row>
    <row r="407" spans="1:9" x14ac:dyDescent="0.25">
      <c r="A407" s="132"/>
      <c r="B407" s="43" t="s">
        <v>32</v>
      </c>
      <c r="C407" s="24" t="s">
        <v>279</v>
      </c>
      <c r="D407" s="25">
        <f>D408</f>
        <v>5900</v>
      </c>
      <c r="E407" s="25">
        <f t="shared" ref="E407:G407" si="73">E408</f>
        <v>5900</v>
      </c>
      <c r="F407" s="25">
        <f t="shared" si="73"/>
        <v>0</v>
      </c>
      <c r="G407" s="25">
        <f t="shared" si="73"/>
        <v>0</v>
      </c>
      <c r="H407" s="118" t="s">
        <v>15</v>
      </c>
      <c r="I407" s="80">
        <f t="shared" si="72"/>
        <v>0</v>
      </c>
    </row>
    <row r="408" spans="1:9" ht="31.5" x14ac:dyDescent="0.25">
      <c r="A408" s="130"/>
      <c r="B408" s="133"/>
      <c r="C408" s="21" t="s">
        <v>14</v>
      </c>
      <c r="D408" s="15">
        <f>D406</f>
        <v>5900</v>
      </c>
      <c r="E408" s="15">
        <f t="shared" ref="E408:G408" si="74">E406</f>
        <v>5900</v>
      </c>
      <c r="F408" s="15">
        <f t="shared" si="74"/>
        <v>0</v>
      </c>
      <c r="G408" s="15">
        <f t="shared" si="74"/>
        <v>0</v>
      </c>
      <c r="H408" s="109" t="s">
        <v>15</v>
      </c>
      <c r="I408" s="54">
        <f t="shared" si="72"/>
        <v>0</v>
      </c>
    </row>
    <row r="409" spans="1:9" ht="15.75" customHeight="1" x14ac:dyDescent="0.25">
      <c r="A409" s="30" t="s">
        <v>280</v>
      </c>
      <c r="B409" s="31"/>
      <c r="C409" s="31"/>
      <c r="D409" s="31"/>
      <c r="E409" s="31"/>
      <c r="F409" s="31"/>
      <c r="G409" s="31"/>
      <c r="H409" s="31"/>
      <c r="I409" s="32"/>
    </row>
    <row r="410" spans="1:9" ht="94.5" x14ac:dyDescent="0.25">
      <c r="A410" s="131"/>
      <c r="B410" s="21" t="s">
        <v>281</v>
      </c>
      <c r="C410" s="21" t="s">
        <v>14</v>
      </c>
      <c r="D410" s="15">
        <v>620</v>
      </c>
      <c r="E410" s="15">
        <v>620</v>
      </c>
      <c r="F410" s="15">
        <v>132</v>
      </c>
      <c r="G410" s="15">
        <v>132</v>
      </c>
      <c r="H410" s="109" t="s">
        <v>15</v>
      </c>
      <c r="I410" s="54">
        <f t="shared" ref="I410:I420" si="75">ROUND(G410/E410,4)</f>
        <v>0.21290000000000001</v>
      </c>
    </row>
    <row r="411" spans="1:9" ht="31.5" x14ac:dyDescent="0.25">
      <c r="A411" s="131"/>
      <c r="B411" s="21" t="s">
        <v>282</v>
      </c>
      <c r="C411" s="21" t="s">
        <v>14</v>
      </c>
      <c r="D411" s="15">
        <v>8119.5</v>
      </c>
      <c r="E411" s="15">
        <v>8119.5</v>
      </c>
      <c r="F411" s="15">
        <v>7235.3</v>
      </c>
      <c r="G411" s="15">
        <v>6141</v>
      </c>
      <c r="H411" s="109" t="s">
        <v>15</v>
      </c>
      <c r="I411" s="54">
        <f t="shared" si="75"/>
        <v>0.75629999999999997</v>
      </c>
    </row>
    <row r="412" spans="1:9" ht="110.25" x14ac:dyDescent="0.25">
      <c r="A412" s="131"/>
      <c r="B412" s="21" t="s">
        <v>283</v>
      </c>
      <c r="C412" s="21" t="s">
        <v>26</v>
      </c>
      <c r="D412" s="15">
        <v>100000</v>
      </c>
      <c r="E412" s="15">
        <v>100000</v>
      </c>
      <c r="F412" s="15">
        <v>29429.7</v>
      </c>
      <c r="G412" s="15">
        <v>29429.7</v>
      </c>
      <c r="H412" s="109" t="s">
        <v>15</v>
      </c>
      <c r="I412" s="54">
        <f t="shared" si="75"/>
        <v>0.29430000000000001</v>
      </c>
    </row>
    <row r="413" spans="1:9" x14ac:dyDescent="0.25">
      <c r="A413" s="132"/>
      <c r="B413" s="43" t="s">
        <v>32</v>
      </c>
      <c r="C413" s="24" t="s">
        <v>33</v>
      </c>
      <c r="D413" s="25">
        <f>D415+D414</f>
        <v>108739.5</v>
      </c>
      <c r="E413" s="25">
        <f>E415+E414</f>
        <v>108739.5</v>
      </c>
      <c r="F413" s="25">
        <f>F415+F414</f>
        <v>36797</v>
      </c>
      <c r="G413" s="25">
        <f>G415+G414</f>
        <v>35702.699999999997</v>
      </c>
      <c r="H413" s="109" t="s">
        <v>15</v>
      </c>
      <c r="I413" s="54">
        <f t="shared" si="75"/>
        <v>0.32829999999999998</v>
      </c>
    </row>
    <row r="414" spans="1:9" ht="31.5" x14ac:dyDescent="0.25">
      <c r="A414" s="127"/>
      <c r="B414" s="85"/>
      <c r="C414" s="21" t="s">
        <v>28</v>
      </c>
      <c r="D414" s="15">
        <f>D412</f>
        <v>100000</v>
      </c>
      <c r="E414" s="15">
        <f>E412</f>
        <v>100000</v>
      </c>
      <c r="F414" s="15">
        <f>F412</f>
        <v>29429.7</v>
      </c>
      <c r="G414" s="15">
        <f>G412</f>
        <v>29429.7</v>
      </c>
      <c r="H414" s="109" t="s">
        <v>15</v>
      </c>
      <c r="I414" s="54">
        <f t="shared" si="75"/>
        <v>0.29430000000000001</v>
      </c>
    </row>
    <row r="415" spans="1:9" ht="31.5" x14ac:dyDescent="0.25">
      <c r="A415" s="127"/>
      <c r="B415" s="103"/>
      <c r="C415" s="21" t="s">
        <v>14</v>
      </c>
      <c r="D415" s="15">
        <f>D410+D411</f>
        <v>8739.5</v>
      </c>
      <c r="E415" s="15">
        <f t="shared" ref="E415:G415" si="76">E410+E411</f>
        <v>8739.5</v>
      </c>
      <c r="F415" s="15">
        <f t="shared" si="76"/>
        <v>7367.3</v>
      </c>
      <c r="G415" s="15">
        <f t="shared" si="76"/>
        <v>6273</v>
      </c>
      <c r="H415" s="109" t="s">
        <v>15</v>
      </c>
      <c r="I415" s="54">
        <f t="shared" si="75"/>
        <v>0.71779999999999999</v>
      </c>
    </row>
    <row r="416" spans="1:9" x14ac:dyDescent="0.25">
      <c r="A416" s="63"/>
      <c r="B416" s="43" t="s">
        <v>77</v>
      </c>
      <c r="C416" s="24" t="s">
        <v>33</v>
      </c>
      <c r="D416" s="25">
        <f>D417+D418+D419+D420</f>
        <v>221816</v>
      </c>
      <c r="E416" s="25">
        <f>E417+E418+E419+E420</f>
        <v>221816</v>
      </c>
      <c r="F416" s="25">
        <f>F417+F418+F419+F420</f>
        <v>63976.3</v>
      </c>
      <c r="G416" s="25">
        <f>G417+G418+G419+G420</f>
        <v>60638.600000000006</v>
      </c>
      <c r="H416" s="109" t="s">
        <v>15</v>
      </c>
      <c r="I416" s="54">
        <f t="shared" si="75"/>
        <v>0.27339999999999998</v>
      </c>
    </row>
    <row r="417" spans="1:9" ht="31.5" x14ac:dyDescent="0.25">
      <c r="A417" s="64"/>
      <c r="B417" s="85"/>
      <c r="C417" s="21" t="s">
        <v>28</v>
      </c>
      <c r="D417" s="15">
        <f>D414+D377</f>
        <v>100000</v>
      </c>
      <c r="E417" s="15">
        <f t="shared" ref="E417:G417" si="77">E414+E377</f>
        <v>100000</v>
      </c>
      <c r="F417" s="15">
        <f t="shared" si="77"/>
        <v>29429.7</v>
      </c>
      <c r="G417" s="15">
        <f t="shared" si="77"/>
        <v>29429.7</v>
      </c>
      <c r="H417" s="109" t="s">
        <v>15</v>
      </c>
      <c r="I417" s="54">
        <f t="shared" si="75"/>
        <v>0.29430000000000001</v>
      </c>
    </row>
    <row r="418" spans="1:9" s="7" customFormat="1" ht="31.5" x14ac:dyDescent="0.25">
      <c r="A418" s="64"/>
      <c r="B418" s="59"/>
      <c r="C418" s="21" t="s">
        <v>14</v>
      </c>
      <c r="D418" s="15">
        <f>D379+D390+D396+D400+D404+D408+D415</f>
        <v>96542.5</v>
      </c>
      <c r="E418" s="15">
        <f>E379+E390+E396+E400+E404+E408+E415</f>
        <v>96542.5</v>
      </c>
      <c r="F418" s="15">
        <f>F379+F390+F396+F400+F404+F408+F415</f>
        <v>30559.100000000002</v>
      </c>
      <c r="G418" s="15">
        <f>G379+G390+G396+G400+G404+G408+G415-0.1</f>
        <v>27221.4</v>
      </c>
      <c r="H418" s="109" t="s">
        <v>15</v>
      </c>
      <c r="I418" s="54">
        <f t="shared" si="75"/>
        <v>0.28199999999999997</v>
      </c>
    </row>
    <row r="419" spans="1:9" s="8" customFormat="1" ht="47.25" x14ac:dyDescent="0.25">
      <c r="A419" s="127"/>
      <c r="B419" s="96"/>
      <c r="C419" s="21" t="s">
        <v>26</v>
      </c>
      <c r="D419" s="15">
        <f>D378+D388</f>
        <v>20073.5</v>
      </c>
      <c r="E419" s="15">
        <f t="shared" ref="E419:G419" si="78">E378+E388</f>
        <v>20073.5</v>
      </c>
      <c r="F419" s="15">
        <f>F378+F388</f>
        <v>3287.5</v>
      </c>
      <c r="G419" s="15">
        <f t="shared" si="78"/>
        <v>3287.5</v>
      </c>
      <c r="H419" s="109" t="s">
        <v>15</v>
      </c>
      <c r="I419" s="54">
        <f t="shared" si="75"/>
        <v>0.1638</v>
      </c>
    </row>
    <row r="420" spans="1:9" ht="31.5" x14ac:dyDescent="0.25">
      <c r="A420" s="130"/>
      <c r="B420" s="82"/>
      <c r="C420" s="21" t="s">
        <v>203</v>
      </c>
      <c r="D420" s="15">
        <f>D380+D389</f>
        <v>5200</v>
      </c>
      <c r="E420" s="15">
        <f t="shared" ref="E420:G420" si="79">E380+E389</f>
        <v>5200</v>
      </c>
      <c r="F420" s="15">
        <f t="shared" si="79"/>
        <v>700</v>
      </c>
      <c r="G420" s="15">
        <f t="shared" si="79"/>
        <v>700</v>
      </c>
      <c r="H420" s="109" t="s">
        <v>15</v>
      </c>
      <c r="I420" s="54">
        <f t="shared" si="75"/>
        <v>0.1346</v>
      </c>
    </row>
    <row r="421" spans="1:9" x14ac:dyDescent="0.25">
      <c r="A421" s="83">
        <v>17</v>
      </c>
      <c r="B421" s="30" t="s">
        <v>284</v>
      </c>
      <c r="C421" s="31"/>
      <c r="D421" s="31"/>
      <c r="E421" s="31"/>
      <c r="F421" s="31"/>
      <c r="G421" s="31"/>
      <c r="H421" s="31"/>
      <c r="I421" s="32"/>
    </row>
    <row r="422" spans="1:9" ht="31.5" x14ac:dyDescent="0.25">
      <c r="A422" s="108"/>
      <c r="B422" s="21" t="s">
        <v>285</v>
      </c>
      <c r="C422" s="21" t="s">
        <v>14</v>
      </c>
      <c r="D422" s="15">
        <v>455.8</v>
      </c>
      <c r="E422" s="15">
        <v>455.8</v>
      </c>
      <c r="F422" s="15">
        <v>26.2</v>
      </c>
      <c r="G422" s="15">
        <v>26.2</v>
      </c>
      <c r="H422" s="68" t="s">
        <v>286</v>
      </c>
      <c r="I422" s="69">
        <f t="shared" ref="I422:I440" si="80">ROUND(G422/E422,4)</f>
        <v>5.7500000000000002E-2</v>
      </c>
    </row>
    <row r="423" spans="1:9" ht="78.75" x14ac:dyDescent="0.25">
      <c r="A423" s="134"/>
      <c r="B423" s="19" t="s">
        <v>287</v>
      </c>
      <c r="C423" s="21" t="s">
        <v>26</v>
      </c>
      <c r="D423" s="15">
        <v>2403.8000000000002</v>
      </c>
      <c r="E423" s="15">
        <v>2403.8000000000002</v>
      </c>
      <c r="F423" s="15">
        <v>2403.8000000000002</v>
      </c>
      <c r="G423" s="15">
        <v>340</v>
      </c>
      <c r="H423" s="68" t="s">
        <v>286</v>
      </c>
      <c r="I423" s="69">
        <f t="shared" si="80"/>
        <v>0.1414</v>
      </c>
    </row>
    <row r="424" spans="1:9" ht="31.5" x14ac:dyDescent="0.25">
      <c r="A424" s="135"/>
      <c r="B424" s="57" t="s">
        <v>288</v>
      </c>
      <c r="C424" s="21" t="s">
        <v>14</v>
      </c>
      <c r="D424" s="15">
        <v>147.19999999999999</v>
      </c>
      <c r="E424" s="15">
        <v>147.19999999999999</v>
      </c>
      <c r="F424" s="15">
        <v>0</v>
      </c>
      <c r="G424" s="15">
        <v>0</v>
      </c>
      <c r="H424" s="68" t="s">
        <v>286</v>
      </c>
      <c r="I424" s="69">
        <f t="shared" si="80"/>
        <v>0</v>
      </c>
    </row>
    <row r="425" spans="1:9" ht="47.25" x14ac:dyDescent="0.25">
      <c r="A425" s="136"/>
      <c r="B425" s="59"/>
      <c r="C425" s="21" t="s">
        <v>26</v>
      </c>
      <c r="D425" s="15">
        <v>456</v>
      </c>
      <c r="E425" s="15">
        <v>456</v>
      </c>
      <c r="F425" s="15">
        <v>0</v>
      </c>
      <c r="G425" s="15">
        <v>0</v>
      </c>
      <c r="H425" s="68" t="s">
        <v>286</v>
      </c>
      <c r="I425" s="69">
        <f t="shared" si="80"/>
        <v>0</v>
      </c>
    </row>
    <row r="426" spans="1:9" ht="31.5" x14ac:dyDescent="0.25">
      <c r="A426" s="137"/>
      <c r="B426" s="61"/>
      <c r="C426" s="21" t="s">
        <v>28</v>
      </c>
      <c r="D426" s="15">
        <v>151.5</v>
      </c>
      <c r="E426" s="15">
        <v>151.5</v>
      </c>
      <c r="F426" s="15">
        <v>0</v>
      </c>
      <c r="G426" s="15">
        <v>0</v>
      </c>
      <c r="H426" s="53" t="s">
        <v>286</v>
      </c>
      <c r="I426" s="54">
        <f t="shared" si="80"/>
        <v>0</v>
      </c>
    </row>
    <row r="427" spans="1:9" x14ac:dyDescent="0.25">
      <c r="A427" s="63"/>
      <c r="B427" s="43" t="s">
        <v>77</v>
      </c>
      <c r="C427" s="24" t="s">
        <v>33</v>
      </c>
      <c r="D427" s="25">
        <f>D428+D429+D430</f>
        <v>3614.3</v>
      </c>
      <c r="E427" s="25">
        <f>E428+E429+E430</f>
        <v>3614.3</v>
      </c>
      <c r="F427" s="25">
        <f>F428+F429+F430</f>
        <v>2430</v>
      </c>
      <c r="G427" s="25">
        <f>G428+G429+G430</f>
        <v>366.2</v>
      </c>
      <c r="H427" s="138" t="s">
        <v>15</v>
      </c>
      <c r="I427" s="139">
        <f t="shared" si="80"/>
        <v>0.1013</v>
      </c>
    </row>
    <row r="428" spans="1:9" s="7" customFormat="1" ht="31.5" x14ac:dyDescent="0.25">
      <c r="A428" s="64"/>
      <c r="B428" s="85"/>
      <c r="C428" s="21" t="s">
        <v>14</v>
      </c>
      <c r="D428" s="15">
        <f t="shared" ref="D428:G429" si="81">D422+D424</f>
        <v>603</v>
      </c>
      <c r="E428" s="15">
        <f t="shared" si="81"/>
        <v>603</v>
      </c>
      <c r="F428" s="15">
        <f t="shared" si="81"/>
        <v>26.2</v>
      </c>
      <c r="G428" s="15">
        <f t="shared" si="81"/>
        <v>26.2</v>
      </c>
      <c r="H428" s="68" t="s">
        <v>15</v>
      </c>
      <c r="I428" s="69">
        <f t="shared" si="80"/>
        <v>4.3400000000000001E-2</v>
      </c>
    </row>
    <row r="429" spans="1:9" s="8" customFormat="1" ht="47.25" x14ac:dyDescent="0.25">
      <c r="A429" s="125"/>
      <c r="B429" s="85"/>
      <c r="C429" s="21" t="s">
        <v>26</v>
      </c>
      <c r="D429" s="15">
        <f t="shared" si="81"/>
        <v>2859.8</v>
      </c>
      <c r="E429" s="15">
        <f t="shared" si="81"/>
        <v>2859.8</v>
      </c>
      <c r="F429" s="15">
        <f t="shared" si="81"/>
        <v>2403.8000000000002</v>
      </c>
      <c r="G429" s="15">
        <f t="shared" si="81"/>
        <v>340</v>
      </c>
      <c r="H429" s="53" t="s">
        <v>15</v>
      </c>
      <c r="I429" s="54">
        <f t="shared" si="80"/>
        <v>0.11890000000000001</v>
      </c>
    </row>
    <row r="430" spans="1:9" s="8" customFormat="1" ht="31.5" x14ac:dyDescent="0.25">
      <c r="A430" s="125"/>
      <c r="B430" s="46"/>
      <c r="C430" s="21" t="s">
        <v>28</v>
      </c>
      <c r="D430" s="15">
        <f>D426</f>
        <v>151.5</v>
      </c>
      <c r="E430" s="15">
        <f>E426</f>
        <v>151.5</v>
      </c>
      <c r="F430" s="15">
        <f>F426</f>
        <v>0</v>
      </c>
      <c r="G430" s="15">
        <f>G426</f>
        <v>0</v>
      </c>
      <c r="H430" s="53" t="s">
        <v>15</v>
      </c>
      <c r="I430" s="54">
        <f t="shared" si="80"/>
        <v>0</v>
      </c>
    </row>
    <row r="431" spans="1:9" ht="36" customHeight="1" x14ac:dyDescent="0.25">
      <c r="A431" s="24">
        <v>18</v>
      </c>
      <c r="B431" s="30" t="s">
        <v>289</v>
      </c>
      <c r="C431" s="31"/>
      <c r="D431" s="31"/>
      <c r="E431" s="31"/>
      <c r="F431" s="31"/>
      <c r="G431" s="31"/>
      <c r="H431" s="31"/>
      <c r="I431" s="32"/>
    </row>
    <row r="432" spans="1:9" s="8" customFormat="1" ht="78.75" x14ac:dyDescent="0.25">
      <c r="A432" s="140"/>
      <c r="B432" s="21" t="s">
        <v>290</v>
      </c>
      <c r="C432" s="21" t="s">
        <v>14</v>
      </c>
      <c r="D432" s="15">
        <v>115</v>
      </c>
      <c r="E432" s="15">
        <v>115</v>
      </c>
      <c r="F432" s="15">
        <v>112.5</v>
      </c>
      <c r="G432" s="15">
        <v>112.5</v>
      </c>
      <c r="H432" s="53" t="s">
        <v>15</v>
      </c>
      <c r="I432" s="54">
        <f t="shared" si="80"/>
        <v>0.97829999999999995</v>
      </c>
    </row>
    <row r="433" spans="1:12" s="8" customFormat="1" ht="94.5" x14ac:dyDescent="0.25">
      <c r="A433" s="140"/>
      <c r="B433" s="21" t="s">
        <v>291</v>
      </c>
      <c r="C433" s="21" t="s">
        <v>14</v>
      </c>
      <c r="D433" s="15">
        <v>25</v>
      </c>
      <c r="E433" s="15">
        <v>25</v>
      </c>
      <c r="F433" s="15">
        <v>0</v>
      </c>
      <c r="G433" s="15">
        <v>0</v>
      </c>
      <c r="H433" s="53" t="s">
        <v>15</v>
      </c>
      <c r="I433" s="54">
        <f t="shared" si="80"/>
        <v>0</v>
      </c>
    </row>
    <row r="434" spans="1:12" s="8" customFormat="1" ht="31.5" customHeight="1" x14ac:dyDescent="0.25">
      <c r="A434" s="140"/>
      <c r="B434" s="21" t="s">
        <v>292</v>
      </c>
      <c r="C434" s="21" t="s">
        <v>14</v>
      </c>
      <c r="D434" s="15">
        <v>50</v>
      </c>
      <c r="E434" s="15">
        <v>50</v>
      </c>
      <c r="F434" s="15">
        <v>39.5</v>
      </c>
      <c r="G434" s="15">
        <v>39.5</v>
      </c>
      <c r="H434" s="53" t="s">
        <v>15</v>
      </c>
      <c r="I434" s="54">
        <f t="shared" si="80"/>
        <v>0.79</v>
      </c>
    </row>
    <row r="435" spans="1:12" s="8" customFormat="1" ht="31.5" customHeight="1" x14ac:dyDescent="0.25">
      <c r="A435" s="141"/>
      <c r="B435" s="87" t="s">
        <v>77</v>
      </c>
      <c r="C435" s="24" t="s">
        <v>14</v>
      </c>
      <c r="D435" s="25">
        <f>D432+D433+D434</f>
        <v>190</v>
      </c>
      <c r="E435" s="25">
        <f>E432+E433+E434</f>
        <v>190</v>
      </c>
      <c r="F435" s="25">
        <f>F432+F433+F434</f>
        <v>152</v>
      </c>
      <c r="G435" s="25">
        <f>G432+G433+G434</f>
        <v>152</v>
      </c>
      <c r="H435" s="79" t="s">
        <v>15</v>
      </c>
      <c r="I435" s="80">
        <f t="shared" si="80"/>
        <v>0.8</v>
      </c>
    </row>
    <row r="436" spans="1:12" s="3" customFormat="1" ht="15.75" customHeight="1" x14ac:dyDescent="0.25">
      <c r="A436" s="63"/>
      <c r="B436" s="43" t="s">
        <v>293</v>
      </c>
      <c r="C436" s="101" t="s">
        <v>33</v>
      </c>
      <c r="D436" s="102">
        <f>D438+D439+D440+D437+0.1</f>
        <v>4258991.6999999993</v>
      </c>
      <c r="E436" s="102">
        <f>E438+E439+E440+E437+0.1</f>
        <v>4213647.7999999989</v>
      </c>
      <c r="F436" s="102">
        <f>F438+F439+F440+F437</f>
        <v>2182772.7535899999</v>
      </c>
      <c r="G436" s="102">
        <f t="shared" ref="G436" si="82">G438+G439+G440+G437</f>
        <v>2140585.5535899997</v>
      </c>
      <c r="H436" s="79" t="s">
        <v>15</v>
      </c>
      <c r="I436" s="80">
        <f t="shared" si="80"/>
        <v>0.50800000000000001</v>
      </c>
      <c r="J436" s="9"/>
      <c r="K436" s="9"/>
      <c r="L436" s="9"/>
    </row>
    <row r="437" spans="1:12" s="3" customFormat="1" ht="31.5" customHeight="1" x14ac:dyDescent="0.25">
      <c r="A437" s="64"/>
      <c r="B437" s="85"/>
      <c r="C437" s="21" t="s">
        <v>28</v>
      </c>
      <c r="D437" s="17">
        <f>D100+D110+D417+D430</f>
        <v>438380.30000000005</v>
      </c>
      <c r="E437" s="17">
        <f>E100+E110+E417+E430</f>
        <v>438380.30000000005</v>
      </c>
      <c r="F437" s="17">
        <f>F100+F110+F417+F430</f>
        <v>226049.30000000002</v>
      </c>
      <c r="G437" s="17">
        <f>G100+G110+G417+G430</f>
        <v>226049.30000000002</v>
      </c>
      <c r="H437" s="53" t="s">
        <v>15</v>
      </c>
      <c r="I437" s="54">
        <f t="shared" si="80"/>
        <v>0.51559999999999995</v>
      </c>
      <c r="J437" s="9"/>
      <c r="K437" s="9"/>
      <c r="L437" s="9"/>
    </row>
    <row r="438" spans="1:12" s="3" customFormat="1" ht="31.5" x14ac:dyDescent="0.25">
      <c r="A438" s="64"/>
      <c r="B438" s="85"/>
      <c r="C438" s="21" t="s">
        <v>14</v>
      </c>
      <c r="D438" s="15">
        <f>D98+D111+D124+D136+D165+D170+D186+D205+D226+D232+D241+D259+D333+D351+D418+D428+D435</f>
        <v>1660218.4</v>
      </c>
      <c r="E438" s="15">
        <f>E98+E111+E124+E136+E165+E170+E186+E205+E226+E232+E241+E259+E333+E351+E418+E428+E435</f>
        <v>1660218.4</v>
      </c>
      <c r="F438" s="15">
        <f>F98+F111+F124+F136+F165+F170+F186+F205+F226+F232+F241+F259+F333+F351+F418+F428+F435</f>
        <v>938712.65358999989</v>
      </c>
      <c r="G438" s="15">
        <f>G98+G111+G124+G136+G165+G170+G186+G205+G226+G232+G241+G259+G333+G351+G418+G428+G435+0.1</f>
        <v>915574.65358999989</v>
      </c>
      <c r="H438" s="53" t="s">
        <v>15</v>
      </c>
      <c r="I438" s="54">
        <f t="shared" si="80"/>
        <v>0.55149999999999999</v>
      </c>
      <c r="J438" s="9"/>
      <c r="K438" s="9"/>
    </row>
    <row r="439" spans="1:12" s="3" customFormat="1" ht="31.5" x14ac:dyDescent="0.25">
      <c r="A439" s="64"/>
      <c r="B439" s="85"/>
      <c r="C439" s="21" t="s">
        <v>203</v>
      </c>
      <c r="D439" s="15">
        <f>D335+D420</f>
        <v>9849.7000000000007</v>
      </c>
      <c r="E439" s="15">
        <f t="shared" ref="E439:G439" si="83">E335+E420</f>
        <v>9849.7000000000007</v>
      </c>
      <c r="F439" s="15">
        <f t="shared" si="83"/>
        <v>2418.3000000000002</v>
      </c>
      <c r="G439" s="15">
        <f t="shared" si="83"/>
        <v>2299.3000000000002</v>
      </c>
      <c r="H439" s="53" t="s">
        <v>15</v>
      </c>
      <c r="I439" s="54">
        <f t="shared" si="80"/>
        <v>0.2334</v>
      </c>
    </row>
    <row r="440" spans="1:12" s="3" customFormat="1" ht="47.25" x14ac:dyDescent="0.25">
      <c r="A440" s="142"/>
      <c r="B440" s="46"/>
      <c r="C440" s="21" t="s">
        <v>26</v>
      </c>
      <c r="D440" s="15">
        <f>D429+D419+D352+D334+D242+D227+D187+D166+D135+D125+D112+D99</f>
        <v>2150543.2000000002</v>
      </c>
      <c r="E440" s="15">
        <f>E429+E419+E352+E334+E242+E227+E187+E166+E135+E125+E112+E99</f>
        <v>2105199.2999999998</v>
      </c>
      <c r="F440" s="15">
        <f>F429+F419+F352+F334+F242+F227+F187+F166+F135+F125+F112+F99</f>
        <v>1015592.4999999999</v>
      </c>
      <c r="G440" s="15">
        <f>G429+G419+G352+G334+G242+G227+G187+G166+G135+G125+G112+G99</f>
        <v>996662.3</v>
      </c>
      <c r="H440" s="53" t="s">
        <v>15</v>
      </c>
      <c r="I440" s="54">
        <f t="shared" si="80"/>
        <v>0.47339999999999999</v>
      </c>
    </row>
    <row r="441" spans="1:12" s="3" customFormat="1" x14ac:dyDescent="0.25">
      <c r="A441" s="26"/>
      <c r="B441" s="10"/>
      <c r="C441" s="27"/>
      <c r="D441" s="28"/>
      <c r="E441" s="28"/>
      <c r="F441" s="28"/>
      <c r="G441" s="28"/>
      <c r="H441" s="29"/>
      <c r="I441" s="14"/>
    </row>
    <row r="442" spans="1:12" s="3" customFormat="1" x14ac:dyDescent="0.25">
      <c r="A442" s="26"/>
      <c r="B442" s="10"/>
      <c r="C442" s="27"/>
      <c r="D442" s="28"/>
      <c r="E442" s="28"/>
      <c r="F442" s="28"/>
      <c r="G442" s="28"/>
      <c r="H442" s="29"/>
      <c r="I442" s="14"/>
    </row>
    <row r="443" spans="1:12" s="3" customFormat="1" x14ac:dyDescent="0.25">
      <c r="A443" s="26"/>
      <c r="B443" s="10"/>
      <c r="C443" s="27"/>
      <c r="D443" s="28"/>
      <c r="E443" s="28"/>
      <c r="F443" s="28"/>
      <c r="G443" s="28"/>
      <c r="H443" s="29"/>
      <c r="I443" s="14"/>
    </row>
    <row r="444" spans="1:12" x14ac:dyDescent="0.25">
      <c r="D444" s="4"/>
      <c r="E444" s="4"/>
      <c r="F444" s="4"/>
      <c r="G444" s="4"/>
    </row>
  </sheetData>
  <autoFilter ref="A7:Q440" xr:uid="{3E8309C7-2A88-4997-B47F-B51B401F1FFD}">
    <filterColumn colId="7" showButton="0"/>
  </autoFilter>
  <mergeCells count="151">
    <mergeCell ref="H6:I7"/>
    <mergeCell ref="B8:I8"/>
    <mergeCell ref="B9:I9"/>
    <mergeCell ref="A20:A22"/>
    <mergeCell ref="B20:B22"/>
    <mergeCell ref="A23:A24"/>
    <mergeCell ref="B23:B24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B40:I40"/>
    <mergeCell ref="J40:Q40"/>
    <mergeCell ref="A48:A50"/>
    <mergeCell ref="B48:B50"/>
    <mergeCell ref="B51:I51"/>
    <mergeCell ref="J51:Q51"/>
    <mergeCell ref="A25:A26"/>
    <mergeCell ref="B25:B26"/>
    <mergeCell ref="A29:A32"/>
    <mergeCell ref="B29:B32"/>
    <mergeCell ref="B33:I33"/>
    <mergeCell ref="A37:A39"/>
    <mergeCell ref="B37:B39"/>
    <mergeCell ref="B92:I92"/>
    <mergeCell ref="A95:A96"/>
    <mergeCell ref="B95:B96"/>
    <mergeCell ref="A97:A100"/>
    <mergeCell ref="B97:B100"/>
    <mergeCell ref="B101:I101"/>
    <mergeCell ref="A62:A63"/>
    <mergeCell ref="B62:B63"/>
    <mergeCell ref="A71:A74"/>
    <mergeCell ref="B71:B74"/>
    <mergeCell ref="B75:I75"/>
    <mergeCell ref="A89:A91"/>
    <mergeCell ref="B89:B91"/>
    <mergeCell ref="A134:A136"/>
    <mergeCell ref="B134:B136"/>
    <mergeCell ref="B137:I137"/>
    <mergeCell ref="A138:I138"/>
    <mergeCell ref="A143:A145"/>
    <mergeCell ref="B143:B145"/>
    <mergeCell ref="A109:A112"/>
    <mergeCell ref="B109:B112"/>
    <mergeCell ref="B113:I113"/>
    <mergeCell ref="A123:A125"/>
    <mergeCell ref="B123:B125"/>
    <mergeCell ref="B126:I126"/>
    <mergeCell ref="A164:A166"/>
    <mergeCell ref="B164:B166"/>
    <mergeCell ref="B167:I167"/>
    <mergeCell ref="A169:A170"/>
    <mergeCell ref="B169:B170"/>
    <mergeCell ref="B171:I171"/>
    <mergeCell ref="A146:I146"/>
    <mergeCell ref="A156:A158"/>
    <mergeCell ref="B156:B158"/>
    <mergeCell ref="A159:I159"/>
    <mergeCell ref="A162:A163"/>
    <mergeCell ref="B162:B163"/>
    <mergeCell ref="B188:I188"/>
    <mergeCell ref="A189:I189"/>
    <mergeCell ref="A191:A192"/>
    <mergeCell ref="B191:B192"/>
    <mergeCell ref="A193:I193"/>
    <mergeCell ref="A197:A198"/>
    <mergeCell ref="B197:B198"/>
    <mergeCell ref="A172:I172"/>
    <mergeCell ref="A175:I175"/>
    <mergeCell ref="A182:A184"/>
    <mergeCell ref="B182:B184"/>
    <mergeCell ref="A185:A187"/>
    <mergeCell ref="B185:B187"/>
    <mergeCell ref="B207:I207"/>
    <mergeCell ref="A215:A216"/>
    <mergeCell ref="B215:B216"/>
    <mergeCell ref="A217:I217"/>
    <mergeCell ref="A222:A224"/>
    <mergeCell ref="B222:B224"/>
    <mergeCell ref="B199:I199"/>
    <mergeCell ref="A202:A203"/>
    <mergeCell ref="B202:B203"/>
    <mergeCell ref="A204:A205"/>
    <mergeCell ref="B204:B205"/>
    <mergeCell ref="B206:I206"/>
    <mergeCell ref="A240:A242"/>
    <mergeCell ref="B240:B242"/>
    <mergeCell ref="B243:I243"/>
    <mergeCell ref="A244:I244"/>
    <mergeCell ref="A249:I249"/>
    <mergeCell ref="A255:I255"/>
    <mergeCell ref="A225:A227"/>
    <mergeCell ref="B225:B227"/>
    <mergeCell ref="B228:I228"/>
    <mergeCell ref="A231:A232"/>
    <mergeCell ref="B231:B232"/>
    <mergeCell ref="B233:I233"/>
    <mergeCell ref="B328:I328"/>
    <mergeCell ref="A330:A331"/>
    <mergeCell ref="B330:B331"/>
    <mergeCell ref="A332:A335"/>
    <mergeCell ref="B332:B335"/>
    <mergeCell ref="B336:I336"/>
    <mergeCell ref="B260:I260"/>
    <mergeCell ref="A261:I261"/>
    <mergeCell ref="A300:A303"/>
    <mergeCell ref="B300:B303"/>
    <mergeCell ref="A304:I304"/>
    <mergeCell ref="A324:A327"/>
    <mergeCell ref="B324:B327"/>
    <mergeCell ref="A381:I381"/>
    <mergeCell ref="A387:A390"/>
    <mergeCell ref="B387:B390"/>
    <mergeCell ref="A391:I391"/>
    <mergeCell ref="A395:A396"/>
    <mergeCell ref="B395:B396"/>
    <mergeCell ref="A350:A351"/>
    <mergeCell ref="B350:B352"/>
    <mergeCell ref="B353:I353"/>
    <mergeCell ref="A354:I354"/>
    <mergeCell ref="A376:A379"/>
    <mergeCell ref="B376:B380"/>
    <mergeCell ref="A405:I405"/>
    <mergeCell ref="A407:A408"/>
    <mergeCell ref="B407:B408"/>
    <mergeCell ref="A409:I409"/>
    <mergeCell ref="A413:A415"/>
    <mergeCell ref="B413:B415"/>
    <mergeCell ref="A397:I397"/>
    <mergeCell ref="A399:A400"/>
    <mergeCell ref="B399:B400"/>
    <mergeCell ref="A401:I401"/>
    <mergeCell ref="A403:A404"/>
    <mergeCell ref="B403:B404"/>
    <mergeCell ref="B431:I431"/>
    <mergeCell ref="A436:A440"/>
    <mergeCell ref="B436:B440"/>
    <mergeCell ref="A416:A420"/>
    <mergeCell ref="B416:B420"/>
    <mergeCell ref="B421:I421"/>
    <mergeCell ref="A424:A426"/>
    <mergeCell ref="B424:B426"/>
    <mergeCell ref="A427:A428"/>
    <mergeCell ref="B427:B430"/>
  </mergeCells>
  <pageMargins left="0.78740157480314965" right="0.39370078740157483" top="0.39370078740157483" bottom="0.3937007874015748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</vt:lpstr>
      <vt:lpstr>отчёт!Область_печати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oer02</dc:creator>
  <cp:lastModifiedBy>oer02</cp:lastModifiedBy>
  <cp:lastPrinted>2024-12-20T09:39:16Z</cp:lastPrinted>
  <dcterms:created xsi:type="dcterms:W3CDTF">2024-12-12T08:41:29Z</dcterms:created>
  <dcterms:modified xsi:type="dcterms:W3CDTF">2024-12-20T09:41:12Z</dcterms:modified>
</cp:coreProperties>
</file>