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rio\УЭР\Павлова КА\Рабочая\ОТЧЕТЫ\Муниципальные программы\Отчет о реализации муниципальных программ\2024\4 квартал\Район\"/>
    </mc:Choice>
  </mc:AlternateContent>
  <xr:revisionPtr revIDLastSave="0" documentId="8_{F1E9C236-D796-4AD5-A8EE-A1813CE6435E}" xr6:coauthVersionLast="36" xr6:coauthVersionMax="36" xr10:uidLastSave="{00000000-0000-0000-0000-000000000000}"/>
  <bookViews>
    <workbookView xWindow="0" yWindow="0" windowWidth="28800" windowHeight="11925" tabRatio="954" xr2:uid="{33FC8D48-5FF0-4C61-BA94-DC15ECA166D1}"/>
  </bookViews>
  <sheets>
    <sheet name="отчёт" sheetId="1" r:id="rId1"/>
  </sheets>
  <definedNames>
    <definedName name="_xlnm._FilterDatabase" localSheetId="0" hidden="1">отчёт!$A$7:$I$450</definedName>
    <definedName name="_xlnm.Print_Area" localSheetId="0">отчёт!$A$1:$I$448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0" i="1" l="1"/>
  <c r="F410" i="1"/>
  <c r="G410" i="1"/>
  <c r="I410" i="1" s="1"/>
  <c r="D410" i="1"/>
  <c r="I408" i="1"/>
  <c r="G389" i="1" l="1"/>
  <c r="F389" i="1"/>
  <c r="E379" i="1"/>
  <c r="D379" i="1"/>
  <c r="I358" i="1"/>
  <c r="I359" i="1"/>
  <c r="G337" i="1"/>
  <c r="F337" i="1"/>
  <c r="G338" i="1"/>
  <c r="F354" i="1"/>
  <c r="G354" i="1"/>
  <c r="I351" i="1"/>
  <c r="G339" i="1"/>
  <c r="F339" i="1"/>
  <c r="F338" i="1"/>
  <c r="D338" i="1"/>
  <c r="E338" i="1"/>
  <c r="G323" i="1"/>
  <c r="D325" i="1"/>
  <c r="G309" i="1"/>
  <c r="F309" i="1"/>
  <c r="E309" i="1"/>
  <c r="F323" i="1"/>
  <c r="E323" i="1"/>
  <c r="D323" i="1"/>
  <c r="D309" i="1"/>
  <c r="D327" i="1"/>
  <c r="D326" i="1"/>
  <c r="I319" i="1"/>
  <c r="E326" i="1"/>
  <c r="F326" i="1"/>
  <c r="G326" i="1"/>
  <c r="E327" i="1"/>
  <c r="F327" i="1"/>
  <c r="G327" i="1"/>
  <c r="E325" i="1" l="1"/>
  <c r="G353" i="1"/>
  <c r="I309" i="1"/>
  <c r="F325" i="1"/>
  <c r="F353" i="1"/>
  <c r="G325" i="1"/>
  <c r="G305" i="1"/>
  <c r="E305" i="1"/>
  <c r="D305" i="1"/>
  <c r="I272" i="1"/>
  <c r="F256" i="1" l="1"/>
  <c r="G256" i="1"/>
  <c r="G254" i="1"/>
  <c r="F254" i="1"/>
  <c r="G250" i="1"/>
  <c r="F250" i="1"/>
  <c r="E250" i="1"/>
  <c r="D250" i="1"/>
  <c r="G249" i="1"/>
  <c r="F249" i="1"/>
  <c r="I239" i="1"/>
  <c r="E236" i="1" l="1"/>
  <c r="F236" i="1"/>
  <c r="G236" i="1"/>
  <c r="D236" i="1"/>
  <c r="I233" i="1"/>
  <c r="G223" i="1"/>
  <c r="F223" i="1"/>
  <c r="I216" i="1"/>
  <c r="F185" i="1" l="1"/>
  <c r="G165" i="1"/>
  <c r="F165" i="1"/>
  <c r="G159" i="1"/>
  <c r="F159" i="1"/>
  <c r="E159" i="1"/>
  <c r="E160" i="1"/>
  <c r="F160" i="1"/>
  <c r="G160" i="1"/>
  <c r="D159" i="1"/>
  <c r="I156" i="1"/>
  <c r="I157" i="1"/>
  <c r="I148" i="1"/>
  <c r="G134" i="1" l="1"/>
  <c r="F134" i="1"/>
  <c r="G129" i="1"/>
  <c r="F129" i="1"/>
  <c r="E129" i="1"/>
  <c r="D129" i="1"/>
  <c r="D135" i="1" s="1"/>
  <c r="E135" i="1"/>
  <c r="F135" i="1"/>
  <c r="G135" i="1"/>
  <c r="I129" i="1"/>
  <c r="G123" i="1"/>
  <c r="F123" i="1"/>
  <c r="F122" i="1"/>
  <c r="E122" i="1"/>
  <c r="G122" i="1"/>
  <c r="E123" i="1"/>
  <c r="D123" i="1"/>
  <c r="I115" i="1"/>
  <c r="G110" i="1"/>
  <c r="G88" i="1"/>
  <c r="E88" i="1"/>
  <c r="F88" i="1"/>
  <c r="D88" i="1"/>
  <c r="G72" i="1"/>
  <c r="F72" i="1"/>
  <c r="F73" i="1"/>
  <c r="G73" i="1"/>
  <c r="F74" i="1"/>
  <c r="G74" i="1"/>
  <c r="E72" i="1"/>
  <c r="E73" i="1"/>
  <c r="E74" i="1"/>
  <c r="D72" i="1"/>
  <c r="D74" i="1"/>
  <c r="I65" i="1"/>
  <c r="I66" i="1"/>
  <c r="D73" i="1"/>
  <c r="E48" i="1" l="1"/>
  <c r="F48" i="1"/>
  <c r="G48" i="1"/>
  <c r="D48" i="1"/>
  <c r="E32" i="1"/>
  <c r="F32" i="1"/>
  <c r="G32" i="1"/>
  <c r="D32" i="1"/>
  <c r="I28" i="1"/>
  <c r="I29" i="1"/>
  <c r="E423" i="1" l="1"/>
  <c r="F423" i="1"/>
  <c r="G423" i="1"/>
  <c r="D423" i="1"/>
  <c r="D422" i="1"/>
  <c r="D425" i="1" s="1"/>
  <c r="I418" i="1"/>
  <c r="G401" i="1"/>
  <c r="I397" i="1"/>
  <c r="E399" i="1"/>
  <c r="F399" i="1"/>
  <c r="G399" i="1"/>
  <c r="E400" i="1"/>
  <c r="F400" i="1"/>
  <c r="G400" i="1"/>
  <c r="D400" i="1"/>
  <c r="D399" i="1"/>
  <c r="I400" i="1" l="1"/>
  <c r="G398" i="1"/>
  <c r="G380" i="1" l="1"/>
  <c r="F380" i="1"/>
  <c r="F379" i="1"/>
  <c r="F427" i="1" l="1"/>
  <c r="E354" i="1"/>
  <c r="I348" i="1"/>
  <c r="F305" i="1" l="1"/>
  <c r="G245" i="1"/>
  <c r="F245" i="1"/>
  <c r="E246" i="1"/>
  <c r="F246" i="1"/>
  <c r="G246" i="1"/>
  <c r="D246" i="1"/>
  <c r="I234" i="1"/>
  <c r="D185" i="1" l="1"/>
  <c r="I113" i="1" l="1"/>
  <c r="I114" i="1"/>
  <c r="I116" i="1"/>
  <c r="I117" i="1"/>
  <c r="I118" i="1"/>
  <c r="I119" i="1"/>
  <c r="I120" i="1"/>
  <c r="I112" i="1"/>
  <c r="I105" i="1"/>
  <c r="I67" i="1" l="1"/>
  <c r="I58" i="1"/>
  <c r="E31" i="1" l="1"/>
  <c r="E98" i="1" s="1"/>
  <c r="F31" i="1"/>
  <c r="F98" i="1" s="1"/>
  <c r="G31" i="1"/>
  <c r="G98" i="1" s="1"/>
  <c r="E33" i="1"/>
  <c r="F33" i="1"/>
  <c r="G33" i="1"/>
  <c r="D33" i="1"/>
  <c r="D31" i="1"/>
  <c r="I24" i="1"/>
  <c r="G30" i="1" l="1"/>
  <c r="F30" i="1"/>
  <c r="I350" i="1"/>
  <c r="D354" i="1"/>
  <c r="I349" i="1"/>
  <c r="I347" i="1" l="1"/>
  <c r="I279" i="1" l="1"/>
  <c r="D249" i="1"/>
  <c r="E249" i="1"/>
  <c r="F218" i="1" l="1"/>
  <c r="E218" i="1"/>
  <c r="G218" i="1"/>
  <c r="D218" i="1"/>
  <c r="D217" i="1" s="1"/>
  <c r="E217" i="1" l="1"/>
  <c r="G217" i="1"/>
  <c r="F217" i="1"/>
  <c r="F164" i="1"/>
  <c r="E110" i="1"/>
  <c r="F110" i="1"/>
  <c r="D110" i="1"/>
  <c r="I110" i="1" s="1"/>
  <c r="I102" i="1"/>
  <c r="F71" i="1" l="1"/>
  <c r="I27" i="1"/>
  <c r="G443" i="1" l="1"/>
  <c r="F443" i="1"/>
  <c r="E443" i="1"/>
  <c r="D443" i="1"/>
  <c r="I442" i="1"/>
  <c r="I441" i="1"/>
  <c r="I440" i="1"/>
  <c r="G438" i="1"/>
  <c r="F438" i="1"/>
  <c r="E438" i="1"/>
  <c r="D438" i="1"/>
  <c r="G437" i="1"/>
  <c r="F437" i="1"/>
  <c r="E437" i="1"/>
  <c r="D437" i="1"/>
  <c r="G436" i="1"/>
  <c r="F436" i="1"/>
  <c r="E436" i="1"/>
  <c r="D436" i="1"/>
  <c r="I434" i="1"/>
  <c r="I433" i="1"/>
  <c r="I432" i="1"/>
  <c r="I431" i="1"/>
  <c r="I430" i="1"/>
  <c r="G422" i="1"/>
  <c r="G425" i="1" s="1"/>
  <c r="F422" i="1"/>
  <c r="F425" i="1" s="1"/>
  <c r="E422" i="1"/>
  <c r="E425" i="1" s="1"/>
  <c r="I420" i="1"/>
  <c r="I419" i="1"/>
  <c r="I417" i="1"/>
  <c r="G415" i="1"/>
  <c r="F415" i="1"/>
  <c r="F414" i="1" s="1"/>
  <c r="E415" i="1"/>
  <c r="E414" i="1" s="1"/>
  <c r="D415" i="1"/>
  <c r="D414" i="1" s="1"/>
  <c r="I413" i="1"/>
  <c r="G411" i="1"/>
  <c r="G409" i="1" s="1"/>
  <c r="F411" i="1"/>
  <c r="F409" i="1" s="1"/>
  <c r="E411" i="1"/>
  <c r="E409" i="1" s="1"/>
  <c r="D411" i="1"/>
  <c r="D409" i="1" s="1"/>
  <c r="I407" i="1"/>
  <c r="G405" i="1"/>
  <c r="G404" i="1" s="1"/>
  <c r="F405" i="1"/>
  <c r="F404" i="1" s="1"/>
  <c r="E405" i="1"/>
  <c r="E404" i="1" s="1"/>
  <c r="D405" i="1"/>
  <c r="D404" i="1" s="1"/>
  <c r="I403" i="1"/>
  <c r="F401" i="1"/>
  <c r="F398" i="1" s="1"/>
  <c r="E401" i="1"/>
  <c r="D401" i="1"/>
  <c r="D398" i="1" s="1"/>
  <c r="I395" i="1"/>
  <c r="I393" i="1"/>
  <c r="G391" i="1"/>
  <c r="F391" i="1"/>
  <c r="E391" i="1"/>
  <c r="D391" i="1"/>
  <c r="G390" i="1"/>
  <c r="F390" i="1"/>
  <c r="E390" i="1"/>
  <c r="D390" i="1"/>
  <c r="E389" i="1"/>
  <c r="D389" i="1"/>
  <c r="D427" i="1" s="1"/>
  <c r="I387" i="1"/>
  <c r="I386" i="1"/>
  <c r="I385" i="1"/>
  <c r="I384" i="1"/>
  <c r="I383" i="1"/>
  <c r="G381" i="1"/>
  <c r="F381" i="1"/>
  <c r="F378" i="1" s="1"/>
  <c r="E381" i="1"/>
  <c r="D381" i="1"/>
  <c r="E380" i="1"/>
  <c r="E378" i="1" s="1"/>
  <c r="D380" i="1"/>
  <c r="D378" i="1" s="1"/>
  <c r="G379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7" i="1"/>
  <c r="I354" i="1"/>
  <c r="I346" i="1"/>
  <c r="I345" i="1"/>
  <c r="I344" i="1"/>
  <c r="I343" i="1"/>
  <c r="I342" i="1"/>
  <c r="I341" i="1"/>
  <c r="E340" i="1"/>
  <c r="I340" i="1" s="1"/>
  <c r="D340" i="1"/>
  <c r="E339" i="1"/>
  <c r="I339" i="1" s="1"/>
  <c r="D339" i="1"/>
  <c r="E337" i="1"/>
  <c r="E353" i="1" s="1"/>
  <c r="D337" i="1"/>
  <c r="D353" i="1" s="1"/>
  <c r="G331" i="1"/>
  <c r="G330" i="1" s="1"/>
  <c r="F331" i="1"/>
  <c r="F330" i="1" s="1"/>
  <c r="E331" i="1"/>
  <c r="E330" i="1" s="1"/>
  <c r="D331" i="1"/>
  <c r="D330" i="1"/>
  <c r="I329" i="1"/>
  <c r="I323" i="1"/>
  <c r="I322" i="1"/>
  <c r="I321" i="1"/>
  <c r="I320" i="1"/>
  <c r="I318" i="1"/>
  <c r="I317" i="1"/>
  <c r="I316" i="1"/>
  <c r="I315" i="1"/>
  <c r="I314" i="1"/>
  <c r="I313" i="1"/>
  <c r="I312" i="1"/>
  <c r="I311" i="1"/>
  <c r="I310" i="1"/>
  <c r="G307" i="1"/>
  <c r="F307" i="1"/>
  <c r="E307" i="1"/>
  <c r="D307" i="1"/>
  <c r="G306" i="1"/>
  <c r="F306" i="1"/>
  <c r="E306" i="1"/>
  <c r="D306" i="1"/>
  <c r="I302" i="1"/>
  <c r="I301" i="1"/>
  <c r="I300" i="1"/>
  <c r="I299" i="1"/>
  <c r="I293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1" i="1"/>
  <c r="I270" i="1"/>
  <c r="I268" i="1"/>
  <c r="I267" i="1"/>
  <c r="I266" i="1"/>
  <c r="G262" i="1"/>
  <c r="F262" i="1"/>
  <c r="E262" i="1"/>
  <c r="D262" i="1"/>
  <c r="I261" i="1"/>
  <c r="I260" i="1"/>
  <c r="G258" i="1"/>
  <c r="F258" i="1"/>
  <c r="I257" i="1"/>
  <c r="E256" i="1"/>
  <c r="I256" i="1" s="1"/>
  <c r="D256" i="1"/>
  <c r="E255" i="1"/>
  <c r="D255" i="1"/>
  <c r="E254" i="1"/>
  <c r="I254" i="1" s="1"/>
  <c r="D254" i="1"/>
  <c r="G252" i="1"/>
  <c r="F252" i="1"/>
  <c r="E251" i="1"/>
  <c r="I251" i="1" s="1"/>
  <c r="D251" i="1"/>
  <c r="I250" i="1"/>
  <c r="I249" i="1"/>
  <c r="E245" i="1"/>
  <c r="E244" i="1" s="1"/>
  <c r="D245" i="1"/>
  <c r="D244" i="1" s="1"/>
  <c r="I243" i="1"/>
  <c r="I242" i="1"/>
  <c r="I241" i="1"/>
  <c r="I240" i="1"/>
  <c r="I238" i="1"/>
  <c r="G235" i="1"/>
  <c r="F235" i="1"/>
  <c r="E235" i="1"/>
  <c r="D235" i="1"/>
  <c r="I232" i="1"/>
  <c r="I231" i="1"/>
  <c r="G226" i="1"/>
  <c r="G229" i="1" s="1"/>
  <c r="F226" i="1"/>
  <c r="F229" i="1" s="1"/>
  <c r="E226" i="1"/>
  <c r="E229" i="1" s="1"/>
  <c r="D226" i="1"/>
  <c r="D229" i="1" s="1"/>
  <c r="G225" i="1"/>
  <c r="G228" i="1" s="1"/>
  <c r="F225" i="1"/>
  <c r="F228" i="1" s="1"/>
  <c r="E225" i="1"/>
  <c r="E228" i="1" s="1"/>
  <c r="D225" i="1"/>
  <c r="I223" i="1"/>
  <c r="I222" i="1"/>
  <c r="I221" i="1"/>
  <c r="I220" i="1"/>
  <c r="I218" i="1"/>
  <c r="I215" i="1"/>
  <c r="I214" i="1"/>
  <c r="I213" i="1"/>
  <c r="I212" i="1"/>
  <c r="I211" i="1"/>
  <c r="I210" i="1"/>
  <c r="G205" i="1"/>
  <c r="G204" i="1" s="1"/>
  <c r="F205" i="1"/>
  <c r="F204" i="1" s="1"/>
  <c r="E205" i="1"/>
  <c r="E204" i="1" s="1"/>
  <c r="D205" i="1"/>
  <c r="D204" i="1" s="1"/>
  <c r="I203" i="1"/>
  <c r="I202" i="1"/>
  <c r="G200" i="1"/>
  <c r="G199" i="1" s="1"/>
  <c r="F200" i="1"/>
  <c r="F199" i="1" s="1"/>
  <c r="E200" i="1"/>
  <c r="D200" i="1"/>
  <c r="D199" i="1" s="1"/>
  <c r="I198" i="1"/>
  <c r="I197" i="1"/>
  <c r="I196" i="1"/>
  <c r="G194" i="1"/>
  <c r="G193" i="1" s="1"/>
  <c r="F194" i="1"/>
  <c r="F193" i="1" s="1"/>
  <c r="E194" i="1"/>
  <c r="E193" i="1" s="1"/>
  <c r="D194" i="1"/>
  <c r="I192" i="1"/>
  <c r="G186" i="1"/>
  <c r="F186" i="1"/>
  <c r="E186" i="1"/>
  <c r="D186" i="1"/>
  <c r="G185" i="1"/>
  <c r="F189" i="1"/>
  <c r="E185" i="1"/>
  <c r="E189" i="1" s="1"/>
  <c r="D189" i="1"/>
  <c r="I183" i="1"/>
  <c r="I182" i="1"/>
  <c r="I181" i="1"/>
  <c r="I180" i="1"/>
  <c r="I179" i="1"/>
  <c r="I178" i="1"/>
  <c r="G176" i="1"/>
  <c r="F176" i="1"/>
  <c r="E176" i="1"/>
  <c r="D176" i="1"/>
  <c r="I175" i="1"/>
  <c r="G172" i="1"/>
  <c r="G171" i="1" s="1"/>
  <c r="F172" i="1"/>
  <c r="F171" i="1" s="1"/>
  <c r="E170" i="1"/>
  <c r="I170" i="1" s="1"/>
  <c r="D170" i="1"/>
  <c r="D172" i="1" s="1"/>
  <c r="D171" i="1" s="1"/>
  <c r="E165" i="1"/>
  <c r="D165" i="1"/>
  <c r="D164" i="1" s="1"/>
  <c r="C165" i="1"/>
  <c r="G164" i="1"/>
  <c r="I163" i="1"/>
  <c r="I162" i="1"/>
  <c r="D160" i="1"/>
  <c r="F158" i="1"/>
  <c r="I155" i="1"/>
  <c r="I154" i="1"/>
  <c r="I153" i="1"/>
  <c r="I152" i="1"/>
  <c r="I151" i="1"/>
  <c r="I150" i="1"/>
  <c r="I149" i="1"/>
  <c r="I147" i="1"/>
  <c r="I146" i="1"/>
  <c r="G144" i="1"/>
  <c r="F144" i="1"/>
  <c r="E144" i="1"/>
  <c r="D144" i="1"/>
  <c r="G143" i="1"/>
  <c r="G167" i="1" s="1"/>
  <c r="F143" i="1"/>
  <c r="F167" i="1" s="1"/>
  <c r="E143" i="1"/>
  <c r="D143" i="1"/>
  <c r="I141" i="1"/>
  <c r="I140" i="1"/>
  <c r="I139" i="1"/>
  <c r="I138" i="1"/>
  <c r="E134" i="1"/>
  <c r="D134" i="1"/>
  <c r="I132" i="1"/>
  <c r="I131" i="1"/>
  <c r="I130" i="1"/>
  <c r="I128" i="1"/>
  <c r="I127" i="1"/>
  <c r="I126" i="1"/>
  <c r="D122" i="1"/>
  <c r="G109" i="1"/>
  <c r="F109" i="1"/>
  <c r="E109" i="1"/>
  <c r="D109" i="1"/>
  <c r="G108" i="1"/>
  <c r="F108" i="1"/>
  <c r="E108" i="1"/>
  <c r="D108" i="1"/>
  <c r="I106" i="1"/>
  <c r="I104" i="1"/>
  <c r="I103" i="1"/>
  <c r="I101" i="1"/>
  <c r="I100" i="1"/>
  <c r="G94" i="1"/>
  <c r="F94" i="1"/>
  <c r="F93" i="1" s="1"/>
  <c r="E94" i="1"/>
  <c r="E93" i="1" s="1"/>
  <c r="D94" i="1"/>
  <c r="I92" i="1"/>
  <c r="I91" i="1"/>
  <c r="G89" i="1"/>
  <c r="F89" i="1"/>
  <c r="E89" i="1"/>
  <c r="D89" i="1"/>
  <c r="I86" i="1"/>
  <c r="I85" i="1"/>
  <c r="I84" i="1"/>
  <c r="I83" i="1"/>
  <c r="I82" i="1"/>
  <c r="I81" i="1"/>
  <c r="I80" i="1"/>
  <c r="I79" i="1"/>
  <c r="I78" i="1"/>
  <c r="I77" i="1"/>
  <c r="I76" i="1"/>
  <c r="I74" i="1"/>
  <c r="D98" i="1"/>
  <c r="I72" i="1"/>
  <c r="I70" i="1"/>
  <c r="I69" i="1"/>
  <c r="I68" i="1"/>
  <c r="I64" i="1"/>
  <c r="I63" i="1"/>
  <c r="I62" i="1"/>
  <c r="I61" i="1"/>
  <c r="I60" i="1"/>
  <c r="I59" i="1"/>
  <c r="I57" i="1"/>
  <c r="I56" i="1"/>
  <c r="I55" i="1"/>
  <c r="I54" i="1"/>
  <c r="I53" i="1"/>
  <c r="I52" i="1"/>
  <c r="I51" i="1"/>
  <c r="G49" i="1"/>
  <c r="G47" i="1" s="1"/>
  <c r="F49" i="1"/>
  <c r="E49" i="1"/>
  <c r="D49" i="1"/>
  <c r="D47" i="1" s="1"/>
  <c r="I46" i="1"/>
  <c r="I45" i="1"/>
  <c r="I44" i="1"/>
  <c r="I43" i="1"/>
  <c r="I42" i="1"/>
  <c r="G40" i="1"/>
  <c r="F40" i="1"/>
  <c r="E40" i="1"/>
  <c r="D40" i="1"/>
  <c r="G39" i="1"/>
  <c r="F39" i="1"/>
  <c r="E39" i="1"/>
  <c r="D39" i="1"/>
  <c r="I37" i="1"/>
  <c r="I36" i="1"/>
  <c r="I35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D445" i="1" l="1"/>
  <c r="G445" i="1"/>
  <c r="F426" i="1"/>
  <c r="D167" i="1"/>
  <c r="G427" i="1"/>
  <c r="G378" i="1"/>
  <c r="E164" i="1"/>
  <c r="I164" i="1" s="1"/>
  <c r="E167" i="1"/>
  <c r="D96" i="1"/>
  <c r="G97" i="1"/>
  <c r="E96" i="1"/>
  <c r="E95" i="1" s="1"/>
  <c r="F96" i="1"/>
  <c r="D224" i="1"/>
  <c r="G96" i="1"/>
  <c r="D97" i="1"/>
  <c r="E97" i="1"/>
  <c r="F97" i="1"/>
  <c r="D93" i="1"/>
  <c r="G428" i="1"/>
  <c r="E426" i="1"/>
  <c r="F227" i="1"/>
  <c r="E427" i="1"/>
  <c r="F435" i="1"/>
  <c r="D87" i="1"/>
  <c r="G227" i="1"/>
  <c r="E87" i="1"/>
  <c r="D142" i="1"/>
  <c r="E142" i="1"/>
  <c r="F428" i="1"/>
  <c r="E428" i="1"/>
  <c r="F424" i="1"/>
  <c r="E398" i="1"/>
  <c r="I398" i="1" s="1"/>
  <c r="I401" i="1"/>
  <c r="D107" i="1"/>
  <c r="G426" i="1"/>
  <c r="G424" i="1" s="1"/>
  <c r="D352" i="1"/>
  <c r="E352" i="1"/>
  <c r="D304" i="1"/>
  <c r="E304" i="1"/>
  <c r="G304" i="1"/>
  <c r="F38" i="1"/>
  <c r="I108" i="1"/>
  <c r="I109" i="1"/>
  <c r="G107" i="1"/>
  <c r="G38" i="1"/>
  <c r="E227" i="1"/>
  <c r="D38" i="1"/>
  <c r="F244" i="1"/>
  <c r="I204" i="1"/>
  <c r="I88" i="1"/>
  <c r="D133" i="1"/>
  <c r="E184" i="1"/>
  <c r="E324" i="1"/>
  <c r="I185" i="1"/>
  <c r="I186" i="1"/>
  <c r="I134" i="1"/>
  <c r="I437" i="1"/>
  <c r="F168" i="1"/>
  <c r="G324" i="1"/>
  <c r="I225" i="1"/>
  <c r="I226" i="1"/>
  <c r="I337" i="1"/>
  <c r="F324" i="1"/>
  <c r="G421" i="1"/>
  <c r="D388" i="1"/>
  <c r="I390" i="1"/>
  <c r="I411" i="1"/>
  <c r="G435" i="1"/>
  <c r="I379" i="1"/>
  <c r="I409" i="1"/>
  <c r="I122" i="1"/>
  <c r="E133" i="1"/>
  <c r="I245" i="1"/>
  <c r="I262" i="1"/>
  <c r="F352" i="1"/>
  <c r="D426" i="1"/>
  <c r="F133" i="1"/>
  <c r="E188" i="1"/>
  <c r="E187" i="1" s="1"/>
  <c r="F207" i="1"/>
  <c r="F206" i="1" s="1"/>
  <c r="D258" i="1"/>
  <c r="F263" i="1"/>
  <c r="G352" i="1"/>
  <c r="I391" i="1"/>
  <c r="I415" i="1"/>
  <c r="I422" i="1"/>
  <c r="I423" i="1"/>
  <c r="I443" i="1"/>
  <c r="I327" i="1"/>
  <c r="I307" i="1"/>
  <c r="F335" i="1"/>
  <c r="F334" i="1"/>
  <c r="I305" i="1"/>
  <c r="G244" i="1"/>
  <c r="I244" i="1" s="1"/>
  <c r="D71" i="1"/>
  <c r="I89" i="1"/>
  <c r="I94" i="1"/>
  <c r="E107" i="1"/>
  <c r="E121" i="1"/>
  <c r="I123" i="1"/>
  <c r="I125" i="1"/>
  <c r="I143" i="1"/>
  <c r="D188" i="1"/>
  <c r="D187" i="1" s="1"/>
  <c r="I229" i="1"/>
  <c r="I235" i="1"/>
  <c r="D252" i="1"/>
  <c r="G333" i="1"/>
  <c r="D428" i="1"/>
  <c r="I381" i="1"/>
  <c r="D184" i="1"/>
  <c r="E445" i="1"/>
  <c r="I49" i="1"/>
  <c r="I160" i="1"/>
  <c r="F184" i="1"/>
  <c r="I200" i="1"/>
  <c r="I236" i="1"/>
  <c r="F304" i="1"/>
  <c r="D335" i="1"/>
  <c r="F388" i="1"/>
  <c r="E388" i="1"/>
  <c r="I438" i="1"/>
  <c r="E168" i="1"/>
  <c r="D168" i="1"/>
  <c r="E207" i="1"/>
  <c r="E206" i="1" s="1"/>
  <c r="E335" i="1"/>
  <c r="E334" i="1"/>
  <c r="I389" i="1"/>
  <c r="E421" i="1"/>
  <c r="E435" i="1"/>
  <c r="E199" i="1"/>
  <c r="I199" i="1" s="1"/>
  <c r="G188" i="1"/>
  <c r="F188" i="1"/>
  <c r="F187" i="1" s="1"/>
  <c r="G168" i="1"/>
  <c r="I159" i="1"/>
  <c r="E158" i="1"/>
  <c r="F142" i="1"/>
  <c r="F121" i="1"/>
  <c r="G121" i="1"/>
  <c r="F107" i="1"/>
  <c r="G87" i="1"/>
  <c r="F87" i="1"/>
  <c r="I73" i="1"/>
  <c r="F47" i="1"/>
  <c r="I48" i="1"/>
  <c r="E47" i="1"/>
  <c r="I47" i="1" s="1"/>
  <c r="I40" i="1"/>
  <c r="E30" i="1"/>
  <c r="I31" i="1"/>
  <c r="I32" i="1"/>
  <c r="E71" i="1"/>
  <c r="D30" i="1"/>
  <c r="E38" i="1"/>
  <c r="I39" i="1"/>
  <c r="G71" i="1"/>
  <c r="G93" i="1"/>
  <c r="I93" i="1" s="1"/>
  <c r="D121" i="1"/>
  <c r="G142" i="1"/>
  <c r="D158" i="1"/>
  <c r="I165" i="1"/>
  <c r="E172" i="1"/>
  <c r="E171" i="1" s="1"/>
  <c r="I171" i="1" s="1"/>
  <c r="I176" i="1"/>
  <c r="D207" i="1"/>
  <c r="D206" i="1" s="1"/>
  <c r="D193" i="1"/>
  <c r="I194" i="1"/>
  <c r="I217" i="1"/>
  <c r="G224" i="1"/>
  <c r="F224" i="1"/>
  <c r="I246" i="1"/>
  <c r="I255" i="1"/>
  <c r="E258" i="1"/>
  <c r="I258" i="1" s="1"/>
  <c r="D334" i="1"/>
  <c r="D324" i="1"/>
  <c r="E252" i="1"/>
  <c r="I252" i="1" s="1"/>
  <c r="D333" i="1"/>
  <c r="I306" i="1"/>
  <c r="I98" i="1"/>
  <c r="I144" i="1"/>
  <c r="G189" i="1"/>
  <c r="I189" i="1" s="1"/>
  <c r="G207" i="1"/>
  <c r="I33" i="1"/>
  <c r="G158" i="1"/>
  <c r="G184" i="1"/>
  <c r="I193" i="1"/>
  <c r="I205" i="1"/>
  <c r="E224" i="1"/>
  <c r="D228" i="1"/>
  <c r="D227" i="1" s="1"/>
  <c r="G263" i="1"/>
  <c r="E333" i="1"/>
  <c r="I325" i="1"/>
  <c r="I326" i="1"/>
  <c r="I330" i="1"/>
  <c r="I404" i="1"/>
  <c r="G334" i="1"/>
  <c r="G388" i="1"/>
  <c r="I405" i="1"/>
  <c r="G414" i="1"/>
  <c r="I414" i="1" s="1"/>
  <c r="F421" i="1"/>
  <c r="I436" i="1"/>
  <c r="G335" i="1"/>
  <c r="I331" i="1"/>
  <c r="F333" i="1"/>
  <c r="I338" i="1"/>
  <c r="I380" i="1"/>
  <c r="D421" i="1"/>
  <c r="D435" i="1"/>
  <c r="G448" i="1" l="1"/>
  <c r="E424" i="1"/>
  <c r="G95" i="1"/>
  <c r="F95" i="1"/>
  <c r="I142" i="1"/>
  <c r="I107" i="1"/>
  <c r="I304" i="1"/>
  <c r="I87" i="1"/>
  <c r="G446" i="1"/>
  <c r="I388" i="1"/>
  <c r="F166" i="1"/>
  <c r="G166" i="1"/>
  <c r="I428" i="1"/>
  <c r="I421" i="1"/>
  <c r="I188" i="1"/>
  <c r="I71" i="1"/>
  <c r="I184" i="1"/>
  <c r="F447" i="1"/>
  <c r="I427" i="1"/>
  <c r="E332" i="1"/>
  <c r="D332" i="1"/>
  <c r="G332" i="1"/>
  <c r="I435" i="1"/>
  <c r="G187" i="1"/>
  <c r="I187" i="1" s="1"/>
  <c r="D424" i="1"/>
  <c r="I352" i="1"/>
  <c r="I353" i="1"/>
  <c r="D263" i="1"/>
  <c r="D446" i="1" s="1"/>
  <c r="I378" i="1"/>
  <c r="I425" i="1"/>
  <c r="I121" i="1"/>
  <c r="E447" i="1"/>
  <c r="E166" i="1"/>
  <c r="I324" i="1"/>
  <c r="F332" i="1"/>
  <c r="I334" i="1"/>
  <c r="F448" i="1"/>
  <c r="I333" i="1"/>
  <c r="I426" i="1"/>
  <c r="D166" i="1"/>
  <c r="I445" i="1"/>
  <c r="I172" i="1"/>
  <c r="I224" i="1"/>
  <c r="I38" i="1"/>
  <c r="F445" i="1"/>
  <c r="I168" i="1"/>
  <c r="D447" i="1"/>
  <c r="I158" i="1"/>
  <c r="I96" i="1"/>
  <c r="I97" i="1"/>
  <c r="D95" i="1"/>
  <c r="I30" i="1"/>
  <c r="E448" i="1"/>
  <c r="D448" i="1"/>
  <c r="I227" i="1"/>
  <c r="I228" i="1"/>
  <c r="I167" i="1"/>
  <c r="I207" i="1"/>
  <c r="G206" i="1"/>
  <c r="I206" i="1" s="1"/>
  <c r="I335" i="1"/>
  <c r="G447" i="1"/>
  <c r="E263" i="1"/>
  <c r="I263" i="1" s="1"/>
  <c r="I135" i="1"/>
  <c r="G133" i="1"/>
  <c r="I133" i="1" s="1"/>
  <c r="F446" i="1"/>
  <c r="I166" i="1" l="1"/>
  <c r="I447" i="1"/>
  <c r="D444" i="1"/>
  <c r="I424" i="1"/>
  <c r="F444" i="1"/>
  <c r="I332" i="1"/>
  <c r="I448" i="1"/>
  <c r="I95" i="1"/>
  <c r="E446" i="1"/>
  <c r="E444" i="1" s="1"/>
  <c r="G444" i="1"/>
  <c r="I444" i="1" l="1"/>
  <c r="I446" i="1"/>
</calcChain>
</file>

<file path=xl/sharedStrings.xml><?xml version="1.0" encoding="utf-8"?>
<sst xmlns="http://schemas.openxmlformats.org/spreadsheetml/2006/main" count="1151" uniqueCount="304">
  <si>
    <t>Отчёт</t>
  </si>
  <si>
    <t xml:space="preserve">о реализации  муниципальных программ, </t>
  </si>
  <si>
    <t xml:space="preserve">действующих в муниципальном образовании Кольский район </t>
  </si>
  <si>
    <t>№ п/п</t>
  </si>
  <si>
    <t>Мероприятия*</t>
  </si>
  <si>
    <t>Источник финансирования</t>
  </si>
  <si>
    <t xml:space="preserve">Утвержденный объем финансирования </t>
  </si>
  <si>
    <t>Лимиты</t>
  </si>
  <si>
    <t>Исполнено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</si>
  <si>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</si>
  <si>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фактическое финансирование  </t>
  </si>
  <si>
    <t>произведённые кассовые расходы</t>
  </si>
  <si>
    <t>Муниципальная программа "Развитие образования в Кольском районе Мурманской области" на 2021-2025 годы</t>
  </si>
  <si>
    <t>Подпрограмма 1 "Развитие образования в Кольском районе Мурманской области"</t>
  </si>
  <si>
    <t>Мероприятия по капитальному и текущему ремонту объектов образования</t>
  </si>
  <si>
    <t>бюджет Кольского района</t>
  </si>
  <si>
    <t>Исполнено на</t>
  </si>
  <si>
    <t>Модернизация образовательной среды, направленная на достижение современного качества учебных результатов</t>
  </si>
  <si>
    <t>Формирование условий, обеспечивающих соответствие образовательных организаций современным требованиям</t>
  </si>
  <si>
    <t xml:space="preserve">Расходы бюджета Кольского района на обеспечение комплексной безопасности муниципальных образовательных организаций </t>
  </si>
  <si>
    <t>Школьное здоровое питание</t>
  </si>
  <si>
    <t>Расходы на реализацию мероприятий государственной программы Российской Федерации "Доступная среда"</t>
  </si>
  <si>
    <t>Проведение мероприятий, направленных на формирование здорового образа жизни</t>
  </si>
  <si>
    <t>Расходы на реализацию мероприятий по модернизации школьных систем образования</t>
  </si>
  <si>
    <t>Субсидии на реализацию мероприятий по модернизации школьных систем образования</t>
  </si>
  <si>
    <t xml:space="preserve"> бюджет Мурманской области</t>
  </si>
  <si>
    <t>Субсидии на обеспечение комплексной безопасности муниципальных образовательных организаций</t>
  </si>
  <si>
    <t>бюджет Мурманской области</t>
  </si>
  <si>
    <t>Обеспечение комплексного развития сельских территорий</t>
  </si>
  <si>
    <t>федеральный бюджет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</si>
  <si>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</si>
  <si>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Реализация мероприятий по модернизации школьных систем образования (капитальный ремонт зданий общеобразовательных организаций Кольского муниципального района)</t>
  </si>
  <si>
    <t>Субсидии из областного бюджета местным бюджетам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</si>
  <si>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Всего по подпрограмме</t>
  </si>
  <si>
    <t>Всего, в т.ч.</t>
  </si>
  <si>
    <t>Подпрограмма 2 «Обеспечение отдыха и оздоровления детей»</t>
  </si>
  <si>
    <t>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</t>
  </si>
  <si>
    <t>Субсидия на организацию отдыха детей Мурманской области в муниципальных образовательных организациях</t>
  </si>
  <si>
    <t>Расходы бюджета Кольского района на организацию отдыха детей Мурманской области в муниципальных образовательных организациях</t>
  </si>
  <si>
    <t>Подпрограмма 3 «Обеспечение качественного предоставления услуг (работ) в сфере дошкольного образования»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</si>
  <si>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</si>
  <si>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</si>
  <si>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</si>
  <si>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</si>
  <si>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Расходы бюджета Кольского района на софинансирование расходов, направляемых на оплату  труда и начисления на выплаты по оплате труда работникам муниципальных учреждений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</si>
  <si>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</si>
  <si>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Подпрограмма 4 «Обеспечение качественного предоставления услуг (работ) в сфере общего образования»</t>
  </si>
  <si>
    <t>Расходы на обеспечение деятельности (оказание услуг)  подведомственных учреждений, в том числе на предоставление муниципальным бюджетным и автономным учреждениям субсидий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</si>
  <si>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- Образовательные организации</t>
  </si>
  <si>
    <t>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</si>
  <si>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Субвенция на обеспечение бесплатным питанием отдельных категорий обучающихся</t>
  </si>
  <si>
    <t>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</t>
  </si>
  <si>
    <t>Расходы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</si>
  <si>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Ежемесячное денежное вознаграждение за классное руководство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</si>
  <si>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</si>
  <si>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</si>
  <si>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Федеральный бюджет</t>
  </si>
  <si>
    <t>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 за счет резервного фонда Правительства РФ</t>
  </si>
  <si>
    <t>Подпрограмма 5  «Обеспечение качественного предоставления услуг (работ) в сфере дополнительного образования»</t>
  </si>
  <si>
    <t>Проведение мероприятий для детей и молодёжи</t>
  </si>
  <si>
    <t>Расходы бюджета Кольского района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</si>
  <si>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Расходы на финансовое обеспечение муниципального задания на реализацию дополнительных общеразвивающих программ для детей в рамках исполнения  социального заказа на оказание муниципальных услуг в социальной сфере в соответствии с социальным сертификатом</t>
  </si>
  <si>
    <t>Субсидии в целях финансового обеспечения (возмещения)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</t>
  </si>
  <si>
    <t>Субсидия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 Мисякова, д. 6)</t>
  </si>
  <si>
    <t>Расходы бюджета Кольского района на софинансирование капитальных вложений в объекты муниципальной собственности (Спортивный комплекс с плавательным бассейном "Энергетик", расположенный по адресу: Мурманская область, Кольский район, пгт. Мурмаши, ул. Мисякова, д. 6)</t>
  </si>
  <si>
    <t>Субсидия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</si>
  <si>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Расходы бюджета Кольского района на софинансирование капитальных вложений в объекты муниципальной собственности (Фитнесс-центр "Престиж", расположенный в зданиях по адресам: Мурманская область, Кольский район, пгт. Мурмаши, ул. Мира, д. 14, ул. Мира, д. 13)</t>
  </si>
  <si>
    <t>Подпрограмма 6 «Обеспечение организационно-методической деятельности муниципальных учреждений Кольского района»</t>
  </si>
  <si>
    <t>Всего по программе</t>
  </si>
  <si>
    <t>Муниципальная программа "Развитие семейных форм устройства детей-сирот и детей, оставшихся без попечения родителей" на 2021-2025 годы</t>
  </si>
  <si>
    <t>Проведение торжественных мероприятий в рамках празднования Дня матери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</si>
  <si>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</si>
  <si>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 xml:space="preserve"> Субвенция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</si>
  <si>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</si>
  <si>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Субвенция на содержание ребёнка в семье опекуна (попечителя) и приёмной семье, а также вознаграждение, причитающееся приёмному родителю 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</si>
  <si>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</si>
  <si>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Муниципальная программа "Социальная поддержка отдельных категорий граждан" на 2021-2025 годы</t>
  </si>
  <si>
    <t>Ежемесячная доплата к страховой пенсии лицам, замещавшим муниципальные должности в муниципальном образовании Кольский район</t>
  </si>
  <si>
    <t>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указанных в подпунктах 1-6,6,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</si>
  <si>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предоставление мер социальной поддержки по оплате жилого помещения и коммунальных услуг детям-сиротам и детям, оставшихся без попечения родителей, лицам из числа детей-сирот и детей, оставшихся без попечения родителей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</si>
  <si>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</si>
  <si>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</si>
  <si>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Выплата пенсии за выслугу лет муниципальным служащим, замещавшим муниципальные должности муниципальной службы в муниципальном образовании Кольский район</t>
  </si>
  <si>
    <t>Предоставление и выплата ежемесячной доплаты к государственной трудовой пенсии  лицам, удостоенным звания "Почётный гражданин Кольского района"</t>
  </si>
  <si>
    <t xml:space="preserve">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</t>
  </si>
  <si>
    <t>Муниципальная программа "Развитие физической культуры и спорта" на 2021-2025 годы</t>
  </si>
  <si>
    <t>Комплекс мероприятий, направленных на развитие массового спорта</t>
  </si>
  <si>
    <t>Расходы на выплаты спортсменам, судьям, привлекаемым для участия в физкультурно-спортивных мероприятиях</t>
  </si>
  <si>
    <t>Субсидия на развитие физкультурно-спортивной работы</t>
  </si>
  <si>
    <t>Расходы бюджета Кольского района на развитие физкультурно-спортивной работы</t>
  </si>
  <si>
    <t>Субсидии бюджетам муниципальных образований на открытие спортивных пространств для молодежи</t>
  </si>
  <si>
    <t>Расходы бюджета Кольского района на открытие спортивных пространств для молодежи</t>
  </si>
  <si>
    <t>Расходы на проведение работ по подготовке лыжной трассы в г. Кола</t>
  </si>
  <si>
    <t>Муниципальная программа "Развитие культуры" на 2021-2025 годы</t>
  </si>
  <si>
    <t xml:space="preserve">Подпрограмма 1 "Сохранение и развитие дополнительного образования в сфере культуры и искусства" </t>
  </si>
  <si>
    <t>Расходы бюджета Кольского района на софинансирование расходов, направленных на оплату труда и начисления на выплаты по оплате труда, работникам муниципальных учреждений</t>
  </si>
  <si>
    <t xml:space="preserve">Подпрограмма 2 "Сохранение и развитие библиотечной и культурно-досуговой деятельности" </t>
  </si>
  <si>
    <t>Организация и проведение культурно-массовых и праздничных мероприятий</t>
  </si>
  <si>
    <t>Субсидии на реализацию проектов в области культуры и искусства</t>
  </si>
  <si>
    <t>Расходы бюджета Кольского района по обеспечению и реализации социально-значимых мероприятий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</si>
  <si>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</si>
  <si>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Расходы бюджета Кольского района 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</si>
  <si>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Подпрограмма 3 "Модернизация учреждений культуры, искусства, образования в сфере культуры и искусства" </t>
  </si>
  <si>
    <t>Обеспечение развития и укрепления материально-технической базы учреждений культуры</t>
  </si>
  <si>
    <t>Мероприятия по капитальному и текущему ремонту объектов культуры</t>
  </si>
  <si>
    <t>Муниципальная программа "Энергосбережение и повышение энергетической эффективности" на 2021-2027 годы</t>
  </si>
  <si>
    <t>Стимулирование энергосбережения и повышение энергетической эффективности муниципальных учреждений</t>
  </si>
  <si>
    <t>Муниципальная программа "Развитие транспортной системы" на 2021-2025 годы</t>
  </si>
  <si>
    <t>Подпрограмма 2 "Повышение безопасности дорожного движения и снижение дорожно-транспортного травматизма"</t>
  </si>
  <si>
    <t xml:space="preserve">Мероприятия, связанные с повышением безопасности дорожного движения и снижение дорожно-транспортного травматизма в Кольском районе </t>
  </si>
  <si>
    <t>Подпрограмма 3 "Развитие дорожного хозяйства сельских поселений"</t>
  </si>
  <si>
    <t>Обслуживание и содержание дорог местного значения в границах сельских поселений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</si>
  <si>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</si>
  <si>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</si>
  <si>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</t>
  </si>
  <si>
    <t>Иные межбюджетные трансферты бюджетам сельских поселений Кольского района на осуществление части функций,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</t>
  </si>
  <si>
    <t>Расходы бюджета Кольского района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</si>
  <si>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Всего:</t>
  </si>
  <si>
    <t>Муниципальная программа "Развитие экономического потенциала и формирование благоприятного предпринимательского климата в Кольском районе" на 2022-2026 годы</t>
  </si>
  <si>
    <t>Подпрограмма 1 "Содействие развитию субъектов малого  предпринимательства"</t>
  </si>
  <si>
    <t>Предоставление финансовой поддержки субъектам малого предпринимательства, в том числе крестьянско-фермерским хозяйствам</t>
  </si>
  <si>
    <t>Подпрограмма 2 "Поддержка социально ориентированных некоммерческих организаций"</t>
  </si>
  <si>
    <t>Предоставление субсидий общественным организациям инвалидов</t>
  </si>
  <si>
    <t>Предоставление субсидий социально ориентированным некоммерческим организациям, созданным в форме хуторских казачьих обществ, внесенных в государственный реестр казачьих обществ Российской Федерации, на финансовое обеспечение и возмещение затрат на оплату коммунальных ресурсов, потребленных в текущем периоде и прошлом году на содержание занимаемого нежилого помещения</t>
  </si>
  <si>
    <t>Предоставление субсидий социально ориентированным некоммерческим организациям, созданным в форме общественных организаций и осуществляющим деятельность в области спорта, на финансовое обеспечение расходов по оплате коммунальных услуг, потребленных в текущем финансовом году на водоснабжение, отопление, подогрев воды, электроснабжение занимаемого  нежилого помещения</t>
  </si>
  <si>
    <t>Подпрограмма 3 "Развитие торговли в Кольском районе"</t>
  </si>
  <si>
    <t>Приобретение оборудования для проведения ярмарок</t>
  </si>
  <si>
    <t>Прибретение сувенирной, печатной продукции</t>
  </si>
  <si>
    <t>Муниципальная программа "Управление муниципальными финансами" на  2021 -2025 годы</t>
  </si>
  <si>
    <t>Подпрограмма 1 "Управление муниципальными финансами"</t>
  </si>
  <si>
    <t>Услуги по предоставлению доступа к сети Интернет</t>
  </si>
  <si>
    <t>Выполнение работ по заправке картриджей, устранению неисправностей (восстановлению работоспособности) картриджей, оргтехники, электронно-вычислительных машин и используемого совместно с ними периферийного и офисного оборудования</t>
  </si>
  <si>
    <t>Приобретение, обновление, сопровождение лицензионного программного обеспечения с определенным сроком полезного использования (включая информационные системы электронно-цифровых подписей)</t>
  </si>
  <si>
    <t>Выполнение работ по установке (расширению) и модернизации единых функциональных систем</t>
  </si>
  <si>
    <t>Приобретение (модернизация) компьютерной техники, оргтехники</t>
  </si>
  <si>
    <t>Приобретение комплектующих и расходных материалов для компьютерной и офисной техники</t>
  </si>
  <si>
    <t>Приобретение, обновление, сопровождение лицензионного программного обеспечения с неопределенным сроком полезного использования (включая информационные системы)</t>
  </si>
  <si>
    <t>Подпрограмма 2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</si>
  <si>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Выравнивание бюджетной обеспеченности муниципальных образований</t>
  </si>
  <si>
    <t xml:space="preserve"> Поддержка мер по обеспечению сбалансированности местных бюджетов</t>
  </si>
  <si>
    <t>Всего, в том числе:</t>
  </si>
  <si>
    <t>Муниципальная программа "Управление муниципальным имуществом Кольского района" на 2020-2025 гг.</t>
  </si>
  <si>
    <t>Распоряжение, формирование, управление муниципальным имуществом, (кроме земельных участков), их учёт и содержание</t>
  </si>
  <si>
    <t>Расходы бюджета Кольского района на оплату взносов на капитальный ремонт жилого фонда, отнесённого к специализированному жилищному фонду</t>
  </si>
  <si>
    <t>Муниципальная программа "Охрана окружающей среды" на 2021-2025 годы</t>
  </si>
  <si>
    <t>Расходы на организацию мероприятий по обеспечению чистоты и порядка на территории муниципального образования</t>
  </si>
  <si>
    <t>Расходы по содержанию и обслуживанию ГТС ограждающей дамбы помётохранилища (бывшие птицефабрики)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</si>
  <si>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</si>
  <si>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на реализацию мероприятий, направленных на ликвидацию накопленного экологического ущерба</t>
  </si>
  <si>
    <t>Расходы бюджета Кольского района на реализацию мероприятий, направленных на ликвидацию накопленного экологического ущерба</t>
  </si>
  <si>
    <t>Муниципальная программа "Развитие гражданского общества в Кольском районе Мурманской области" на 2021-2025 годы</t>
  </si>
  <si>
    <t xml:space="preserve">Подпрограмма 1 "Комплексные меры по ограничению темпов роста наркомании, алкоголизма и сопутствующих им заболеваний в Кольском районе </t>
  </si>
  <si>
    <t>Комплекс мер по обеспечению поддержки и сопровождения антинаркотической и антиалкогольной деятельности в Кольском районе</t>
  </si>
  <si>
    <t>Реализация комплекса мер, направленного на профилактику негативных явлений в обществе, формирование здорового образа жизни у населения Кольского района, в том числе детской и молодёжной среде</t>
  </si>
  <si>
    <t>Оказание методической помощи организаторам и участникам профилактической антинаркотической и антиалкогольной деятельности</t>
  </si>
  <si>
    <t xml:space="preserve">Подпрограмма 2 "Профилактика правонарушений в Кольском районе" </t>
  </si>
  <si>
    <t>Комплекс мер, направленных на обеспечение общественной безопасности и профилактику правонарушений на территории Кольского района, в том числе в детской и молодёжной среде</t>
  </si>
  <si>
    <t>Обеспечение мер по информационной и материальной поддержке участников профилактической деятельности</t>
  </si>
  <si>
    <t>Выплата денежной премии участникам акции "Правовой район"</t>
  </si>
  <si>
    <t>Материальное поощрение народных дружинников, принимавших участие в обеспечении охраны общественного порядка на территории поселений Кольского района</t>
  </si>
  <si>
    <t xml:space="preserve">Подпрограмма 3 "Противодействие терроризму и экстремизму, предупреждение межнациональных конфликтов на территории Кольского района" </t>
  </si>
  <si>
    <t>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</t>
  </si>
  <si>
    <t>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</t>
  </si>
  <si>
    <t>13.</t>
  </si>
  <si>
    <t xml:space="preserve">Муниципальная программа "Развитие муниципального управления" на 2021-2025 годы </t>
  </si>
  <si>
    <t xml:space="preserve">Подпрограмма 1 "Обеспечение деятельности и функций администрации Кольского района и государственных полномочий" </t>
  </si>
  <si>
    <t>Расходы на выплаты по оплате труда главы местной администрации</t>
  </si>
  <si>
    <t>Расходы на обеспечение функций главы муниципального образования</t>
  </si>
  <si>
    <t>Расходы на выплаты по оплате труда работников органов местного самоуправления</t>
  </si>
  <si>
    <t>Расходы на обеспечение функций работников органов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</si>
  <si>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</si>
  <si>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направления расходов муниципальной программы</t>
  </si>
  <si>
    <t>Мероприятия по созданию и обеспечению функционирования системы технической защиты информации</t>
  </si>
  <si>
    <t>Членские взносы в Совет муниципальных образований Мурманской области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</si>
  <si>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</si>
  <si>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</si>
  <si>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</si>
  <si>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</si>
  <si>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</si>
  <si>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</si>
  <si>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Заключение соглашений на поставку материальных ресурсов на ликвидацию последствий чрезвычайных ситуаций природного и техногенного характера</t>
  </si>
  <si>
    <t>Расходы на приобретение вещевого имущества и предметов первой необходимости для оснащения защитного сооружения</t>
  </si>
  <si>
    <t>Расходы на выполнение работ по тушению лесных пожаров на землях сельских поселений, находящихся в границах территории муниципального образования Кольский район</t>
  </si>
  <si>
    <t>Обеспечение питанием добровольцев, принимавших участие в оказании помощи в ликвидации природных пожаров на территории сельских поселений Кольского района</t>
  </si>
  <si>
    <t>Субсидия 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</si>
  <si>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</si>
  <si>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Субвенция на осуществление отдельных государственных полномочий по установлению регулируемых тарифов на перевозки пассажиров а багажа автомобильным транспортом и городским наземным электрическим транспортом</t>
  </si>
  <si>
    <t>Подготовка проектов изминений в Правила землепользования и застройки муниципальных образований: с.п. Ура-Губа, с.п. Тулома, с.п. Териберка</t>
  </si>
  <si>
    <t>Оценка рыночной стоимости права заключения договора на установку и эксплуатацию рекламной конструкции на земельном участке, который находится в государственной собственности, муниципальной собственности или государственная собственность на которой не разграничена</t>
  </si>
  <si>
    <t>Актуализация схем градостроительной деятельности сельских поселений Кольского района</t>
  </si>
  <si>
    <t xml:space="preserve">Расходы на выплаты по оплате труда работников органов местного самоуправления, выполняющих переданные полномочия поселений </t>
  </si>
  <si>
    <t>бюджет поселений Кольского района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</si>
  <si>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выполняющих переданные полномочия поселений</t>
  </si>
  <si>
    <t>Расходы на обеспечение функций работников органов местного самоуправления, выполняющих переданные полномочия поселений</t>
  </si>
  <si>
    <t>Расходы на обеспечение функций главы местной администрации</t>
  </si>
  <si>
    <t>Материальное поощерение добровольцев, принимавших участие в оказании помощи в ликвидации природных пожаров на территории городских поселений Кольского района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</si>
  <si>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</si>
  <si>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Расходы бюджета Кольского района на техническое сопровождение программного обеспечения "Система автоматизмрованного рабочего места муниципального образования"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</si>
  <si>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</si>
  <si>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единовременное поощерение за многолетнию безупречную муниципальную службу, выплачиваемую муниципальным служащим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</si>
  <si>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освобождений от замещаемой должности при увольнении</t>
  </si>
  <si>
    <t>Актуализация схемы территориального планирования Кольского района</t>
  </si>
  <si>
    <t xml:space="preserve">Подпрограмма 2 "Обеспечение деятельности муниципальных учреждений, подведомственных администрации Кольского района по выполнению муниципальных функций" </t>
  </si>
  <si>
    <t>Расходы на содержание муниципального учреждения "Отдел муниципального заказа администрации Кольского района"</t>
  </si>
  <si>
    <t>Расходы на содержание МКУ "Кольский архив"</t>
  </si>
  <si>
    <t>Расходы на содержание МАУ "Редакция газеты" Кольское слово"</t>
  </si>
  <si>
    <t>Расходы на содержание МБУ "Централизованная бухгалтерия по обслуживанию муниципальных учреждений Кольского района"</t>
  </si>
  <si>
    <t>Расходы на содержание муниципального казенного учреждения "Хозяйственно-эксплуатационная служба Кольского района"</t>
  </si>
  <si>
    <t>Субвенция на организацию предоставления мер социальной поддержки по оплате жилого помещения и коммунальных усуг детям-сиротам и детям, оставшимся без попечения родителей, лцам из числа детей-сирот и детей, оставшихся без попечения родителей</t>
  </si>
  <si>
    <t>Расходы на содержание МКУ "Управление ОБН Кольского района"</t>
  </si>
  <si>
    <t>Расходы на содержание МКУ "Управление ОБН Кольского района" за счёт поселений</t>
  </si>
  <si>
    <t>Расходы на реконструкцию нежилого здания по адресу: поселок Мурмаши Кольского района, улица Кирова, д.7</t>
  </si>
  <si>
    <t xml:space="preserve">Подпрограмма 3 "Развитие кадрового потенциала администрации Кольского района" </t>
  </si>
  <si>
    <t>Профессиональная подготовка и повышение квалификации муниципальных служащих</t>
  </si>
  <si>
    <t>Муниципальная программа "Молодёжь Кольского района" на 2021-2025 годы</t>
  </si>
  <si>
    <t>Организация и проведение мероприятий, направленных на поддержку и продвижение талантливых детей и молодёжи Кольского района</t>
  </si>
  <si>
    <t>Комплекс мер, направленный на реализацию мероприятий государственной молодёжной политики</t>
  </si>
  <si>
    <t>Реализация комплекса мер, направленного на воспитание у детей и молодёжи патриотизма и чувства долга перед Отечеством</t>
  </si>
  <si>
    <t>Организация и проведение мероприятий, направленных на формирование у молодёжи российской идентичности и профилактику этнического и религиозно-политического экстремизма в молодёжной среде</t>
  </si>
  <si>
    <t>Выплата стипендии Главы администрации Кольского района одарённым детям, торжественное вручение первых стипендий</t>
  </si>
  <si>
    <t>Субсидия бюджетам муниципальных образований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</si>
  <si>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Расходы бюджета Кольского района на реализацию мероприятий по созданию условий для функционирования Комнат и Домов  Всероссийского военно-патриотического общественного движения "ЮНАРМИЯ"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</si>
  <si>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</si>
  <si>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Расходы на обеспечение деятельности (оказание услуг) подведомственных учреждений в целях вовлечения молодежи в социальную практику, формированиеделовой, экономической и политической активности, в том числе на предоставление муниципальным бюджетным и автономным учреждениям субсидий</t>
  </si>
  <si>
    <t xml:space="preserve">              Реализация программы комплексного развития молодежной политики в регионах Российской Федерации "Регион для молодых"</t>
  </si>
  <si>
    <t>Муниципальная программа "Развитие коммунальной инфраструктуры" на 2021-2024 годы</t>
  </si>
  <si>
    <t>Подпрограмма 1 "Содержание и ремонт муниципального жилищного фонда Кольского района"</t>
  </si>
  <si>
    <t>Расходы по внесению платы за содержание и ремонт пустующего жилого помещения, относящегося к муниципальному жилищному фонду</t>
  </si>
  <si>
    <t>Расходы по внесению платы за коммунальные услуги по пустующим жилым помещениям, относящимся к муниципальному жилищному фонду</t>
  </si>
  <si>
    <t>Расходы бюджета Кольского района на оплату взносов на капитальный ремонт за муниципальный нежилой фонд в составе МКД</t>
  </si>
  <si>
    <t>Проведение экспертизы и технического обследования муниципального жилищного фонда в сельских поселениях Кольского района</t>
  </si>
  <si>
    <t xml:space="preserve">Текущий ремонт муниципального жилищного фонда 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</si>
  <si>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</si>
  <si>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Кольского района на оплату взносов на капитальный ремонт за муниципальный жилой фонд </t>
  </si>
  <si>
    <t>Расходы по внесению платы за содержание и ремонт пустующих муниципальных нежилых помещений, в составе МКД</t>
  </si>
  <si>
    <t>Расходы по внесению платы за коммунальные услуги по пустующим муниципальным нежилым помещениям, в составе МКД</t>
  </si>
  <si>
    <t>Расходы бюджета Кольского района на создание и содержание мест (площадок) накопления ТКО на территории сельских поселений Кольского района и г. Кола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</si>
  <si>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</si>
  <si>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ул. Ленинградская, дом 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</si>
  <si>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</si>
  <si>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</si>
  <si>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Субсидии из областного бюджета местным бюджетам на реализацию инициативных проектов в муниципальных образованиях Мурманской области (Ремонт подъездов и входных групп в МКД по адресу: Кольский район, с.п. Пушной, жд/ст Лопарская, ул. ОПХ "Восход", дом 13)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</si>
  <si>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Тулома, ул. Школьная д. 6)</t>
  </si>
  <si>
    <t>Расходы бюджета Кольского района на реализацию инициативных проектов (Ремонт подъездов и входных групп в МКД по адресу: Кольский район, с.п. Пушной, ул. Ленинградская, дом 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</si>
  <si>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д.15)</t>
  </si>
  <si>
    <t>Расходы бюджета Кольского района на реализацию инициативных проектов (Ремонт входных групп и подъездов многоквартирного дома, расположенного по адресу: Мурманская область, Кольский район, с.п. Ура-Губа, с. Ура-Губа, ул. Советская, д.14)</t>
  </si>
  <si>
    <t>Расходы бюджета Кольского района на реализацию инициативных проектов (Ремонт подъездов и входных групп в  МКД по адресу: Кольский район, с.п. Пушной, жд/ст Лопарская, ул. ОПХ "Восход", дом 13)</t>
  </si>
  <si>
    <t>Текущий ремонт муниципального жилищного фонда за счет иных межбюджетных трансфертов из бюджета с.п. Междуречье</t>
  </si>
  <si>
    <t xml:space="preserve">Подпрограмма 2 "Подготовка объектов жилищно-коммунального хозяйства муниципального образования Кольский район к работе в отопительный период" </t>
  </si>
  <si>
    <t>Ремонтные работы на объектах тепло-. водо-. Электроснабжения в сельских поселениях Кольского района в рамках подготовки к отопительному периоду</t>
  </si>
  <si>
    <t>Проведение экспертизы и технического обследования на объектах тепло-. водо-. электроснабжения в сельских поселениях Кольского района</t>
  </si>
  <si>
    <t xml:space="preserve">Субсидия бюджетам муниципальных образований на подготовку к отопительному периоду </t>
  </si>
  <si>
    <t xml:space="preserve">Расходы бюджета Кольского района на подготовку к отопительному периоду </t>
  </si>
  <si>
    <t>Актуализация схем тепло-,водо-, электроснабжения в сельских поселениях Кольского района</t>
  </si>
  <si>
    <t xml:space="preserve">Подпрограмма 3 "Модернизация объектов коммунальной инфраструктуры" </t>
  </si>
  <si>
    <t>Расходы на модернизацию, ремонт и эксплуатацию муниципальных тепло, водо, электрических сетей в сельских поселениях Кольского района</t>
  </si>
  <si>
    <t>Расходы на организацию уличного освещения в сельских поселениях Кольского района</t>
  </si>
  <si>
    <t>Расходы бюджета Кольского района на реализацию мероприятий, направленных на установку индивидуальных домовых электрокотельных в населенных пунктах Кольского района</t>
  </si>
  <si>
    <t>Подпрограмма 4 "Обеспечение полномочий учредителя муниципальных унитарных предприятий"</t>
  </si>
  <si>
    <t>Субсидии муниципальным унитарным предприятиям, осуществляющим отдельные виды деятельности на территории сельских поселений Кольского района на частичное возмещение затрат, связанных с производством и реализацией тепловой энергии, в рамках мер по предупреждению банкротства</t>
  </si>
  <si>
    <t xml:space="preserve">Подпрограмма 5 "Снос ветхого и аварийного жилищного фонда на территории сельских поселений Кольского района" </t>
  </si>
  <si>
    <t xml:space="preserve">Расходы бюджета Кольского района на обеспечение мероприятий по сносу аварийных расселённых жилых домов и нежилых построеек </t>
  </si>
  <si>
    <t xml:space="preserve">Подпрограмма 6 "Обеспечение проведения капитального ремонта общего имущества многоквартирных домов, расположенных на территории сельских поселений Кольского района" </t>
  </si>
  <si>
    <t>Субсидии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на обеспечение затрат на проведение аварийных работ и/ или капитального ремонта общего имущества многоквартирных домов и на проведение мероприятий, направленных на обеспечение энергоснабжения и повышение энергетической эффективности многоквартирных домов, расположенных на территории сельских поселений Кольского района</t>
  </si>
  <si>
    <t>Всего</t>
  </si>
  <si>
    <t xml:space="preserve">Подпрограмма 7 "Обеспечение мероприятий по организации ритуальных услуг и содержанию мест захоронения, расположенных на территории сельских поселений Кольского района" </t>
  </si>
  <si>
    <t>Иные межбюджетные трансферты на осуществление части функций, связанных с исполнением полномочий по организации ритуальных услуг и содержанию мест захоронения на территории сельских поселений Кольского района</t>
  </si>
  <si>
    <t>Расходы на содержание "Мемориального комплекса "Долина Славы"</t>
  </si>
  <si>
    <t>Иной межбюджетный трансферт из областного бюджета бюджету муниципального образования Кольский муниципальный район Мурманской области на развитие объекта культурного наследия регионального значения "Мемориальный комплекс "Долина Славы"</t>
  </si>
  <si>
    <t>Муниципальная программа "Управление земельными ресурсами Кольского района" на 2020-2025 гг.</t>
  </si>
  <si>
    <t>Управление земельными участками, формирование, их учёт и сдержание</t>
  </si>
  <si>
    <t xml:space="preserve"> Исполнено на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</si>
  <si>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</si>
  <si>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Проведение комплексных кадастровых работ</t>
  </si>
  <si>
    <t>Муниципальная программа "Обеспечение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района" на 2022-2024 годы</t>
  </si>
  <si>
    <t>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</t>
  </si>
  <si>
    <t>Материально-техническое обеспечение пожарной безопасности, в том числе обеспечение первичными средствами пожаротушения и пожарным инвентарем территорий и объектов защиты, находящихся в муниципальной собственности</t>
  </si>
  <si>
    <t>Подготовка и размещение информационных материалов на противопожарную тематику</t>
  </si>
  <si>
    <t>Всего по муниципальным программам</t>
  </si>
  <si>
    <t>Расходы бюджета Кольского района на реализацию инициативных проектов в муниципальных образованиях Мурманской области (Установка полифункциональной спортивно - оздоровительной площадки "Успешный старт")</t>
  </si>
  <si>
    <t>Субвенции из областного бюджета местным бюджетам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 (за счет средств резервного фонда Правительства Мурманской области)</t>
  </si>
  <si>
    <t>Бюджет Кольского района</t>
  </si>
  <si>
    <t>Обеспечение комплексного социально - экономического развития села Белокаменка с.п. Междуречье Кольского района в рамках Соглашения о социально-экономическом сотрудничестве с ООО "НОВАТЭК-Мурманск"</t>
  </si>
  <si>
    <t>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 - государственного движения детей и молодежи на территории Мурманской области</t>
  </si>
  <si>
    <t>Расходы бюджета Кольского района на финансовое обеспечение затрат по формированию материально-технической базы, 
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</si>
  <si>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Реализация мероприятий планов социально экономического развития центров экономического роста субъектов РФ АЗРФ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</si>
  <si>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</si>
  <si>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Информирование населения через средства массовой информации о культурно-массовых мероприятиях Кольского района</t>
  </si>
  <si>
    <t>Расходы бюджета Кольского района на переселение граждан из жилищного фонда железнодороджной станции Лопарская, расположенного в зоне превышения допустимых уровней шумового воздействия</t>
  </si>
  <si>
    <t>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</si>
  <si>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Субсидии из областного бюджета местным бюджетам на софинансирование расходов по реализации региональной программы "План мероприятий по развитию жилищной, энергетической и социальной инфраструктуры закрытых административно-территориальных образований и населенных пунктов Мурманской области, в которых дислоцированы воинские формирования" на 2024-2026 годы (за счет средств резервного фонда Правительства Мурманской области)</t>
  </si>
  <si>
    <t>Расходы бюджета Кольского района на содержание мест захоронения на территории сельских поселений Кольского района</t>
  </si>
  <si>
    <t>по итогам 4 квартала 2024 года</t>
  </si>
  <si>
    <t>Субвенция на реализацию Закона Мурманской области "О единой субвенции местным бюджетам на финансового обеспечения образовательной деятельности"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</si>
  <si>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</si>
  <si>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</si>
  <si>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бюджета Кольского района на реализацию проектов в сфере школьного образовательного туризма для обучающихся    8 -11 классов общеобразовательных организаций Мурманской области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</si>
  <si>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общеобразовательные программы начального, общего, основного общего и среднего общего образования, в том числе адоптированые основные общеобразовательные программы, за руководство школьными спортивными клубами</t>
  </si>
  <si>
    <t>Иные межбюджетные транферты из областного бюджета на реализацию проектов в сфере школьного образовательного туризма для обучающихся    8 -11 классов общеобразовательных организаций Мурманской области</t>
  </si>
  <si>
    <t>Субвенции из областного бюджета местным бюджетам на возмещение расходов по гарантированному перечню услуг по погребению</t>
  </si>
  <si>
    <t>Расходы бюджета Кольского района на оплату взносов на капитальный ремонт общего имущества в МКД находящегося в муниципальной собственности и не закрепленного на праве оперативного управления</t>
  </si>
  <si>
    <t>Расходы по содержанию и обслуживанию ГТС ограждающей дамбы пометохранилища (бывшие птицефабрики "Мурманская", Снежная")</t>
  </si>
  <si>
    <t>Расходы бюджета Кольского района на проведение текущего ремонта, приобретение оборудования, оргтехники и материальных запасов для учреждений Кольского района</t>
  </si>
  <si>
    <t>Мероприятия по капитальному и текущему ремонту учреждений молодежной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</si>
</sst>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%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15">
      <alignment vertical="top" wrapText="1"/>
    </xf>
    <xf numFmtId="1" fontId="15" fillId="0" borderId="15">
      <alignment horizontal="center" vertical="top" shrinkToFit="1"/>
    </xf>
    <xf numFmtId="4" fontId="14" fillId="3" borderId="15">
      <alignment horizontal="right" vertical="top" shrinkToFit="1"/>
    </xf>
  </cellStyleXfs>
  <cellXfs count="146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3" fillId="2" borderId="0" xfId="0" applyFont="1" applyFill="1" applyAlignment="1">
      <alignment horizontal="right"/>
    </xf>
    <xf numFmtId="43" fontId="4" fillId="2" borderId="0" xfId="1" applyFont="1" applyFill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1" fillId="0" borderId="0" xfId="0" applyFont="1" applyFill="1"/>
    <xf numFmtId="0" fontId="5" fillId="0" borderId="14" xfId="0" applyFont="1" applyFill="1" applyBorder="1"/>
    <xf numFmtId="0" fontId="5" fillId="0" borderId="0" xfId="0" applyFont="1" applyFill="1" applyBorder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165" fontId="4" fillId="2" borderId="10" xfId="2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right" vertical="center" wrapText="1"/>
    </xf>
    <xf numFmtId="49" fontId="4" fillId="2" borderId="11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right" vertical="center" wrapText="1"/>
    </xf>
    <xf numFmtId="165" fontId="4" fillId="2" borderId="4" xfId="2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/>
    <xf numFmtId="0" fontId="3" fillId="2" borderId="12" xfId="0" applyFont="1" applyFill="1" applyBorder="1" applyAlignment="1">
      <alignment horizontal="right" vertical="center" wrapText="1"/>
    </xf>
    <xf numFmtId="165" fontId="4" fillId="2" borderId="13" xfId="2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165" fontId="6" fillId="2" borderId="4" xfId="2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/>
    <xf numFmtId="0" fontId="3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165" fontId="6" fillId="2" borderId="7" xfId="2" applyNumberFormat="1" applyFont="1" applyFill="1" applyBorder="1" applyAlignment="1">
      <alignment horizontal="left" vertical="center"/>
    </xf>
    <xf numFmtId="165" fontId="4" fillId="2" borderId="7" xfId="2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 wrapText="1"/>
    </xf>
    <xf numFmtId="165" fontId="6" fillId="2" borderId="10" xfId="2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2" borderId="15" xfId="3" applyNumberFormat="1" applyFont="1" applyFill="1" applyAlignment="1" applyProtection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</cellXfs>
  <cellStyles count="6">
    <cellStyle name="xl25" xfId="4" xr:uid="{51D14B16-AF11-47A2-A251-8ED7454D79DB}"/>
    <cellStyle name="xl37" xfId="3" xr:uid="{02F17176-265D-4497-86E8-3C8C4DFDE7D3}"/>
    <cellStyle name="xl38" xfId="5" xr:uid="{BEA09D08-23C9-4CB8-A0E3-FD8997B09568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5074-C4E4-48E9-8C90-ADBC8E97BD9D}">
  <sheetPr codeName="Лист1">
    <pageSetUpPr fitToPage="1"/>
  </sheetPr>
  <dimension ref="A1:I453"/>
  <sheetViews>
    <sheetView tabSelected="1" topLeftCell="A442" zoomScale="118" zoomScaleNormal="118" workbookViewId="0">
      <selection activeCell="E460" sqref="E460"/>
    </sheetView>
  </sheetViews>
  <sheetFormatPr defaultRowHeight="15.75" x14ac:dyDescent="0.25"/>
  <cols>
    <col min="1" max="1" width="5.85546875" style="1" customWidth="1"/>
    <col min="2" max="2" width="47" style="12" customWidth="1"/>
    <col min="3" max="3" width="20.42578125" style="1" customWidth="1"/>
    <col min="4" max="4" width="18.7109375" style="1" customWidth="1"/>
    <col min="5" max="5" width="17" style="1" customWidth="1"/>
    <col min="6" max="6" width="18.5703125" style="1" customWidth="1"/>
    <col min="7" max="7" width="19.140625" style="1" customWidth="1"/>
    <col min="8" max="8" width="15.42578125" style="5" customWidth="1"/>
    <col min="9" max="9" width="10.5703125" style="6" bestFit="1" customWidth="1"/>
    <col min="10" max="16384" width="9.140625" style="1"/>
  </cols>
  <sheetData>
    <row r="1" spans="1:9" s="2" customFormat="1" ht="18.75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s="2" customFormat="1" ht="18.75" x14ac:dyDescent="0.3">
      <c r="A2" s="144" t="s">
        <v>1</v>
      </c>
      <c r="B2" s="144"/>
      <c r="C2" s="144"/>
      <c r="D2" s="144"/>
      <c r="E2" s="144"/>
      <c r="F2" s="144"/>
      <c r="G2" s="144"/>
      <c r="H2" s="144"/>
      <c r="I2" s="144"/>
    </row>
    <row r="3" spans="1:9" s="2" customFormat="1" ht="18.75" x14ac:dyDescent="0.3">
      <c r="A3" s="144" t="s">
        <v>2</v>
      </c>
      <c r="B3" s="144"/>
      <c r="C3" s="144"/>
      <c r="D3" s="144"/>
      <c r="E3" s="144"/>
      <c r="F3" s="144"/>
      <c r="G3" s="144"/>
      <c r="H3" s="144"/>
      <c r="I3" s="144"/>
    </row>
    <row r="4" spans="1:9" s="2" customFormat="1" ht="18.75" x14ac:dyDescent="0.3">
      <c r="A4" s="144" t="s">
        <v>292</v>
      </c>
      <c r="B4" s="144"/>
      <c r="C4" s="144"/>
      <c r="D4" s="144"/>
      <c r="E4" s="144"/>
      <c r="F4" s="144"/>
      <c r="G4" s="144"/>
      <c r="H4" s="144"/>
      <c r="I4" s="144"/>
    </row>
    <row r="5" spans="1:9" s="2" customFormat="1" x14ac:dyDescent="0.25">
      <c r="A5" s="11"/>
      <c r="B5" s="12"/>
      <c r="C5" s="1"/>
      <c r="D5" s="1"/>
      <c r="E5" s="1"/>
      <c r="F5" s="1"/>
      <c r="G5" s="1"/>
      <c r="H5" s="5"/>
      <c r="I5" s="6"/>
    </row>
    <row r="6" spans="1:9" s="2" customFormat="1" x14ac:dyDescent="0.25">
      <c r="A6" s="126" t="s">
        <v>3</v>
      </c>
      <c r="B6" s="94" t="s">
        <v>4</v>
      </c>
      <c r="C6" s="94" t="s">
        <v>5</v>
      </c>
      <c r="D6" s="94" t="s">
        <v>6</v>
      </c>
      <c r="E6" s="94" t="s">
        <v>7</v>
      </c>
      <c r="F6" s="128" t="s">
        <v>8</v>
      </c>
      <c r="G6" s="129"/>
      <c r="H6" s="121" t="s">
        <v>9</v>
      </c>
      <c r="I6" s="122"/>
    </row>
    <row r="7" spans="1:9" s="2" customFormat="1" ht="62.25" customHeight="1" x14ac:dyDescent="0.25">
      <c r="A7" s="127"/>
      <c r="B7" s="96"/>
      <c r="C7" s="96"/>
      <c r="D7" s="96"/>
      <c r="E7" s="96"/>
      <c r="F7" s="13" t="s">
        <v>10</v>
      </c>
      <c r="G7" s="13" t="s">
        <v>11</v>
      </c>
      <c r="H7" s="123"/>
      <c r="I7" s="124"/>
    </row>
    <row r="8" spans="1:9" s="2" customFormat="1" x14ac:dyDescent="0.25">
      <c r="A8" s="13">
        <v>1</v>
      </c>
      <c r="B8" s="100" t="s">
        <v>12</v>
      </c>
      <c r="C8" s="101"/>
      <c r="D8" s="101"/>
      <c r="E8" s="101"/>
      <c r="F8" s="101"/>
      <c r="G8" s="101"/>
      <c r="H8" s="101"/>
      <c r="I8" s="102"/>
    </row>
    <row r="9" spans="1:9" s="2" customFormat="1" x14ac:dyDescent="0.25">
      <c r="A9" s="14"/>
      <c r="B9" s="100" t="s">
        <v>13</v>
      </c>
      <c r="C9" s="101"/>
      <c r="D9" s="101"/>
      <c r="E9" s="101"/>
      <c r="F9" s="101"/>
      <c r="G9" s="101"/>
      <c r="H9" s="101"/>
      <c r="I9" s="102"/>
    </row>
    <row r="10" spans="1:9" s="2" customFormat="1" ht="31.5" x14ac:dyDescent="0.25">
      <c r="A10" s="15"/>
      <c r="B10" s="16" t="s">
        <v>14</v>
      </c>
      <c r="C10" s="16" t="s">
        <v>15</v>
      </c>
      <c r="D10" s="17">
        <v>72344.399999999994</v>
      </c>
      <c r="E10" s="17">
        <v>72344.399999999994</v>
      </c>
      <c r="F10" s="17">
        <v>57736</v>
      </c>
      <c r="G10" s="17">
        <v>57650.7</v>
      </c>
      <c r="H10" s="18" t="s">
        <v>16</v>
      </c>
      <c r="I10" s="19">
        <f t="shared" ref="I10:I33" si="0">ROUND(G10/E10,4)</f>
        <v>0.79690000000000005</v>
      </c>
    </row>
    <row r="11" spans="1:9" s="2" customFormat="1" ht="47.25" x14ac:dyDescent="0.25">
      <c r="A11" s="15"/>
      <c r="B11" s="16" t="s">
        <v>17</v>
      </c>
      <c r="C11" s="16" t="s">
        <v>15</v>
      </c>
      <c r="D11" s="17">
        <v>5043.8999999999996</v>
      </c>
      <c r="E11" s="17">
        <v>5043.8999999999996</v>
      </c>
      <c r="F11" s="17">
        <v>4282</v>
      </c>
      <c r="G11" s="17">
        <v>4282</v>
      </c>
      <c r="H11" s="18" t="s">
        <v>16</v>
      </c>
      <c r="I11" s="19">
        <f t="shared" si="0"/>
        <v>0.84889999999999999</v>
      </c>
    </row>
    <row r="12" spans="1:9" s="2" customFormat="1" ht="47.25" x14ac:dyDescent="0.25">
      <c r="A12" s="15"/>
      <c r="B12" s="16" t="s">
        <v>18</v>
      </c>
      <c r="C12" s="16" t="s">
        <v>15</v>
      </c>
      <c r="D12" s="17">
        <v>900</v>
      </c>
      <c r="E12" s="17">
        <v>900</v>
      </c>
      <c r="F12" s="17">
        <v>365.6</v>
      </c>
      <c r="G12" s="17">
        <v>365.6</v>
      </c>
      <c r="H12" s="18" t="s">
        <v>16</v>
      </c>
      <c r="I12" s="19">
        <f t="shared" si="0"/>
        <v>0.40620000000000001</v>
      </c>
    </row>
    <row r="13" spans="1:9" s="2" customFormat="1" ht="63" x14ac:dyDescent="0.25">
      <c r="A13" s="15"/>
      <c r="B13" s="16" t="s">
        <v>19</v>
      </c>
      <c r="C13" s="16" t="s">
        <v>15</v>
      </c>
      <c r="D13" s="17">
        <v>1514</v>
      </c>
      <c r="E13" s="17">
        <v>1514</v>
      </c>
      <c r="F13" s="17">
        <v>1512.1</v>
      </c>
      <c r="G13" s="17">
        <v>1512.1</v>
      </c>
      <c r="H13" s="18" t="s">
        <v>16</v>
      </c>
      <c r="I13" s="19">
        <f t="shared" si="0"/>
        <v>0.99870000000000003</v>
      </c>
    </row>
    <row r="14" spans="1:9" s="2" customFormat="1" ht="31.5" x14ac:dyDescent="0.25">
      <c r="A14" s="15"/>
      <c r="B14" s="16" t="s">
        <v>20</v>
      </c>
      <c r="C14" s="16" t="s">
        <v>15</v>
      </c>
      <c r="D14" s="17">
        <v>300</v>
      </c>
      <c r="E14" s="17">
        <v>300</v>
      </c>
      <c r="F14" s="17">
        <v>300</v>
      </c>
      <c r="G14" s="17">
        <v>300</v>
      </c>
      <c r="H14" s="18" t="s">
        <v>16</v>
      </c>
      <c r="I14" s="19">
        <f t="shared" si="0"/>
        <v>1</v>
      </c>
    </row>
    <row r="15" spans="1:9" s="2" customFormat="1" ht="47.25" x14ac:dyDescent="0.25">
      <c r="A15" s="20"/>
      <c r="B15" s="21" t="s">
        <v>21</v>
      </c>
      <c r="C15" s="16" t="s">
        <v>15</v>
      </c>
      <c r="D15" s="17">
        <v>120</v>
      </c>
      <c r="E15" s="17">
        <v>120</v>
      </c>
      <c r="F15" s="17">
        <v>120</v>
      </c>
      <c r="G15" s="17">
        <v>120</v>
      </c>
      <c r="H15" s="18" t="s">
        <v>16</v>
      </c>
      <c r="I15" s="19">
        <f t="shared" si="0"/>
        <v>1</v>
      </c>
    </row>
    <row r="16" spans="1:9" s="2" customFormat="1" ht="31.5" x14ac:dyDescent="0.25">
      <c r="A16" s="20"/>
      <c r="B16" s="21" t="s">
        <v>22</v>
      </c>
      <c r="C16" s="16" t="s">
        <v>15</v>
      </c>
      <c r="D16" s="17">
        <v>882</v>
      </c>
      <c r="E16" s="17">
        <v>882</v>
      </c>
      <c r="F16" s="17">
        <v>663.7</v>
      </c>
      <c r="G16" s="17">
        <v>663.7</v>
      </c>
      <c r="H16" s="18" t="s">
        <v>16</v>
      </c>
      <c r="I16" s="19">
        <f t="shared" si="0"/>
        <v>0.75249999999999995</v>
      </c>
    </row>
    <row r="17" spans="1:9" s="2" customFormat="1" ht="31.5" x14ac:dyDescent="0.25">
      <c r="A17" s="20"/>
      <c r="B17" s="21" t="s">
        <v>23</v>
      </c>
      <c r="C17" s="16" t="s">
        <v>15</v>
      </c>
      <c r="D17" s="17">
        <v>10228.1</v>
      </c>
      <c r="E17" s="17">
        <v>10228.1</v>
      </c>
      <c r="F17" s="17">
        <v>10228.1</v>
      </c>
      <c r="G17" s="17">
        <v>10228.1</v>
      </c>
      <c r="H17" s="18" t="s">
        <v>16</v>
      </c>
      <c r="I17" s="19">
        <f t="shared" si="0"/>
        <v>1</v>
      </c>
    </row>
    <row r="18" spans="1:9" s="2" customFormat="1" ht="47.25" x14ac:dyDescent="0.25">
      <c r="A18" s="20"/>
      <c r="B18" s="21" t="s">
        <v>24</v>
      </c>
      <c r="C18" s="16" t="s">
        <v>25</v>
      </c>
      <c r="D18" s="17">
        <v>31690.2</v>
      </c>
      <c r="E18" s="17">
        <v>31690.2</v>
      </c>
      <c r="F18" s="17">
        <v>31690.2</v>
      </c>
      <c r="G18" s="17">
        <v>31690.2</v>
      </c>
      <c r="H18" s="18" t="s">
        <v>16</v>
      </c>
      <c r="I18" s="19">
        <f t="shared" si="0"/>
        <v>1</v>
      </c>
    </row>
    <row r="19" spans="1:9" s="2" customFormat="1" ht="47.25" x14ac:dyDescent="0.25">
      <c r="A19" s="20"/>
      <c r="B19" s="21" t="s">
        <v>26</v>
      </c>
      <c r="C19" s="16" t="s">
        <v>27</v>
      </c>
      <c r="D19" s="17">
        <v>4690.7</v>
      </c>
      <c r="E19" s="17">
        <v>4690.7</v>
      </c>
      <c r="F19" s="17">
        <v>4684.8999999999996</v>
      </c>
      <c r="G19" s="17">
        <v>4684.8999999999996</v>
      </c>
      <c r="H19" s="18" t="s">
        <v>16</v>
      </c>
      <c r="I19" s="19">
        <f t="shared" si="0"/>
        <v>0.99880000000000002</v>
      </c>
    </row>
    <row r="20" spans="1:9" s="2" customFormat="1" ht="31.5" x14ac:dyDescent="0.25">
      <c r="A20" s="119"/>
      <c r="B20" s="103" t="s">
        <v>28</v>
      </c>
      <c r="C20" s="16" t="s">
        <v>29</v>
      </c>
      <c r="D20" s="17">
        <v>48015</v>
      </c>
      <c r="E20" s="17">
        <v>48015</v>
      </c>
      <c r="F20" s="22">
        <v>48015</v>
      </c>
      <c r="G20" s="22">
        <v>48015</v>
      </c>
      <c r="H20" s="18" t="s">
        <v>16</v>
      </c>
      <c r="I20" s="19">
        <f t="shared" si="0"/>
        <v>1</v>
      </c>
    </row>
    <row r="21" spans="1:9" s="2" customFormat="1" ht="47.25" x14ac:dyDescent="0.25">
      <c r="A21" s="125"/>
      <c r="B21" s="112"/>
      <c r="C21" s="16" t="s">
        <v>25</v>
      </c>
      <c r="D21" s="17">
        <v>2939.9</v>
      </c>
      <c r="E21" s="17">
        <v>2939.9</v>
      </c>
      <c r="F21" s="22">
        <v>2939.9</v>
      </c>
      <c r="G21" s="22">
        <v>2939.9</v>
      </c>
      <c r="H21" s="18" t="s">
        <v>16</v>
      </c>
      <c r="I21" s="19">
        <f>ROUND(G21/E21,4)</f>
        <v>1</v>
      </c>
    </row>
    <row r="22" spans="1:9" s="2" customFormat="1" ht="31.5" x14ac:dyDescent="0.25">
      <c r="A22" s="120"/>
      <c r="B22" s="104"/>
      <c r="C22" s="16" t="s">
        <v>15</v>
      </c>
      <c r="D22" s="17">
        <v>948.9</v>
      </c>
      <c r="E22" s="17">
        <v>948.9</v>
      </c>
      <c r="F22" s="22">
        <v>948.9</v>
      </c>
      <c r="G22" s="22">
        <v>948.9</v>
      </c>
      <c r="H22" s="18" t="s">
        <v>16</v>
      </c>
      <c r="I22" s="19">
        <f t="shared" si="0"/>
        <v>1</v>
      </c>
    </row>
    <row r="23" spans="1:9" s="2" customFormat="1" ht="31.5" x14ac:dyDescent="0.25">
      <c r="A23" s="20"/>
      <c r="B23" s="103" t="s">
        <v>30</v>
      </c>
      <c r="C23" s="16" t="s">
        <v>29</v>
      </c>
      <c r="D23" s="17">
        <v>23943.8</v>
      </c>
      <c r="E23" s="17">
        <v>23943.8</v>
      </c>
      <c r="F23" s="17">
        <v>23943.8</v>
      </c>
      <c r="G23" s="17">
        <v>23943.8</v>
      </c>
      <c r="H23" s="23" t="s">
        <v>16</v>
      </c>
      <c r="I23" s="19">
        <f t="shared" si="0"/>
        <v>1</v>
      </c>
    </row>
    <row r="24" spans="1:9" s="2" customFormat="1" ht="31.5" x14ac:dyDescent="0.25">
      <c r="A24" s="20"/>
      <c r="B24" s="104"/>
      <c r="C24" s="16" t="s">
        <v>15</v>
      </c>
      <c r="D24" s="17">
        <v>7728</v>
      </c>
      <c r="E24" s="17">
        <v>7728</v>
      </c>
      <c r="F24" s="17">
        <v>7728</v>
      </c>
      <c r="G24" s="17">
        <v>7728</v>
      </c>
      <c r="H24" s="23" t="s">
        <v>16</v>
      </c>
      <c r="I24" s="19">
        <f t="shared" ref="I24" si="1">ROUND(G24/E24,4)</f>
        <v>1</v>
      </c>
    </row>
    <row r="25" spans="1:9" s="2" customFormat="1" ht="31.5" x14ac:dyDescent="0.25">
      <c r="A25" s="119"/>
      <c r="B25" s="103" t="s">
        <v>31</v>
      </c>
      <c r="C25" s="16" t="s">
        <v>29</v>
      </c>
      <c r="D25" s="17">
        <v>186372.6</v>
      </c>
      <c r="E25" s="17">
        <v>186372.6</v>
      </c>
      <c r="F25" s="17">
        <v>186372.6</v>
      </c>
      <c r="G25" s="17">
        <v>186372.6</v>
      </c>
      <c r="H25" s="23" t="s">
        <v>16</v>
      </c>
      <c r="I25" s="19">
        <f t="shared" si="0"/>
        <v>1</v>
      </c>
    </row>
    <row r="26" spans="1:9" s="2" customFormat="1" ht="31.5" x14ac:dyDescent="0.25">
      <c r="A26" s="120"/>
      <c r="B26" s="104"/>
      <c r="C26" s="16" t="s">
        <v>15</v>
      </c>
      <c r="D26" s="17">
        <v>14192</v>
      </c>
      <c r="E26" s="17">
        <v>14192</v>
      </c>
      <c r="F26" s="22">
        <v>14192</v>
      </c>
      <c r="G26" s="22">
        <v>14192</v>
      </c>
      <c r="H26" s="23" t="s">
        <v>16</v>
      </c>
      <c r="I26" s="19">
        <f t="shared" si="0"/>
        <v>1</v>
      </c>
    </row>
    <row r="27" spans="1:9" s="2" customFormat="1" ht="110.25" x14ac:dyDescent="0.25">
      <c r="A27" s="24"/>
      <c r="B27" s="21" t="s">
        <v>32</v>
      </c>
      <c r="C27" s="21" t="s">
        <v>27</v>
      </c>
      <c r="D27" s="25">
        <v>2632.6</v>
      </c>
      <c r="E27" s="25">
        <v>2632.6</v>
      </c>
      <c r="F27" s="25">
        <v>2632.6</v>
      </c>
      <c r="G27" s="25">
        <v>2632.6</v>
      </c>
      <c r="H27" s="26" t="s">
        <v>16</v>
      </c>
      <c r="I27" s="27">
        <f t="shared" si="0"/>
        <v>1</v>
      </c>
    </row>
    <row r="28" spans="1:9" s="2" customFormat="1" ht="47.25" x14ac:dyDescent="0.25">
      <c r="A28" s="15"/>
      <c r="B28" s="16" t="s">
        <v>285</v>
      </c>
      <c r="C28" s="16" t="s">
        <v>27</v>
      </c>
      <c r="D28" s="17">
        <v>7805</v>
      </c>
      <c r="E28" s="17">
        <v>7805</v>
      </c>
      <c r="F28" s="17">
        <v>7805</v>
      </c>
      <c r="G28" s="17">
        <v>7805</v>
      </c>
      <c r="H28" s="26" t="s">
        <v>16</v>
      </c>
      <c r="I28" s="27">
        <f t="shared" si="0"/>
        <v>1</v>
      </c>
    </row>
    <row r="29" spans="1:9" s="2" customFormat="1" ht="94.5" x14ac:dyDescent="0.25">
      <c r="A29" s="20"/>
      <c r="B29" s="21" t="s">
        <v>279</v>
      </c>
      <c r="C29" s="16" t="s">
        <v>15</v>
      </c>
      <c r="D29" s="17">
        <v>1782.3</v>
      </c>
      <c r="E29" s="17">
        <v>1782.3</v>
      </c>
      <c r="F29" s="17">
        <v>1782.3</v>
      </c>
      <c r="G29" s="17">
        <v>1782.3</v>
      </c>
      <c r="H29" s="26" t="s">
        <v>16</v>
      </c>
      <c r="I29" s="27">
        <f t="shared" si="0"/>
        <v>1</v>
      </c>
    </row>
    <row r="30" spans="1:9" s="2" customFormat="1" x14ac:dyDescent="0.25">
      <c r="A30" s="118"/>
      <c r="B30" s="94" t="s">
        <v>33</v>
      </c>
      <c r="C30" s="13" t="s">
        <v>34</v>
      </c>
      <c r="D30" s="28">
        <f>D31+D32+D33</f>
        <v>424073.5</v>
      </c>
      <c r="E30" s="28">
        <f>E31+E32+E33</f>
        <v>424073.5</v>
      </c>
      <c r="F30" s="28">
        <f>F31+F32+F33</f>
        <v>407942.8</v>
      </c>
      <c r="G30" s="28">
        <f>G31+G32+G33</f>
        <v>407857.5</v>
      </c>
      <c r="H30" s="18" t="s">
        <v>16</v>
      </c>
      <c r="I30" s="19">
        <f t="shared" si="0"/>
        <v>0.96179999999999999</v>
      </c>
    </row>
    <row r="31" spans="1:9" s="2" customFormat="1" ht="31.5" x14ac:dyDescent="0.25">
      <c r="A31" s="98"/>
      <c r="B31" s="112"/>
      <c r="C31" s="16" t="s">
        <v>29</v>
      </c>
      <c r="D31" s="17">
        <f>D20+D25+D23</f>
        <v>258331.4</v>
      </c>
      <c r="E31" s="17">
        <f t="shared" ref="E31:G31" si="2">E20+E25+E23</f>
        <v>258331.4</v>
      </c>
      <c r="F31" s="17">
        <f t="shared" si="2"/>
        <v>258331.4</v>
      </c>
      <c r="G31" s="17">
        <f t="shared" si="2"/>
        <v>258331.4</v>
      </c>
      <c r="H31" s="18" t="s">
        <v>16</v>
      </c>
      <c r="I31" s="19">
        <f t="shared" si="0"/>
        <v>1</v>
      </c>
    </row>
    <row r="32" spans="1:9" s="2" customFormat="1" ht="47.25" x14ac:dyDescent="0.25">
      <c r="A32" s="98"/>
      <c r="B32" s="112"/>
      <c r="C32" s="16" t="s">
        <v>27</v>
      </c>
      <c r="D32" s="17">
        <f>D18+D19+D27+D21+D28+0.1</f>
        <v>49758.5</v>
      </c>
      <c r="E32" s="17">
        <f t="shared" ref="E32:G32" si="3">E18+E19+E27+E21+E28+0.1</f>
        <v>49758.5</v>
      </c>
      <c r="F32" s="17">
        <f t="shared" si="3"/>
        <v>49752.7</v>
      </c>
      <c r="G32" s="17">
        <f t="shared" si="3"/>
        <v>49752.7</v>
      </c>
      <c r="H32" s="18" t="s">
        <v>16</v>
      </c>
      <c r="I32" s="19">
        <f t="shared" si="0"/>
        <v>0.99990000000000001</v>
      </c>
    </row>
    <row r="33" spans="1:9" s="2" customFormat="1" ht="31.5" x14ac:dyDescent="0.25">
      <c r="A33" s="99"/>
      <c r="B33" s="104"/>
      <c r="C33" s="16" t="s">
        <v>15</v>
      </c>
      <c r="D33" s="17">
        <f>D10+D11+D12+D13+D14+D15+D16+D17+D22+D26+D29+D24</f>
        <v>115983.59999999999</v>
      </c>
      <c r="E33" s="17">
        <f t="shared" ref="E33:G33" si="4">E10+E11+E12+E13+E14+E15+E16+E17+E22+E26+E29+E24</f>
        <v>115983.59999999999</v>
      </c>
      <c r="F33" s="17">
        <f t="shared" si="4"/>
        <v>99858.7</v>
      </c>
      <c r="G33" s="17">
        <f t="shared" si="4"/>
        <v>99773.4</v>
      </c>
      <c r="H33" s="18" t="s">
        <v>16</v>
      </c>
      <c r="I33" s="19">
        <f t="shared" si="0"/>
        <v>0.86019999999999996</v>
      </c>
    </row>
    <row r="34" spans="1:9" s="2" customFormat="1" x14ac:dyDescent="0.25">
      <c r="A34" s="29"/>
      <c r="B34" s="100" t="s">
        <v>35</v>
      </c>
      <c r="C34" s="101"/>
      <c r="D34" s="101"/>
      <c r="E34" s="101"/>
      <c r="F34" s="101"/>
      <c r="G34" s="101"/>
      <c r="H34" s="101"/>
      <c r="I34" s="102"/>
    </row>
    <row r="35" spans="1:9" s="2" customFormat="1" ht="78.75" x14ac:dyDescent="0.25">
      <c r="A35" s="15"/>
      <c r="B35" s="16" t="s">
        <v>36</v>
      </c>
      <c r="C35" s="16" t="s">
        <v>15</v>
      </c>
      <c r="D35" s="17">
        <v>1369.2</v>
      </c>
      <c r="E35" s="17">
        <v>1369.2</v>
      </c>
      <c r="F35" s="17">
        <v>1247.9000000000001</v>
      </c>
      <c r="G35" s="17">
        <v>1245.7</v>
      </c>
      <c r="H35" s="18" t="s">
        <v>16</v>
      </c>
      <c r="I35" s="19">
        <f t="shared" ref="I35:I40" si="5">ROUND(G35/E35,4)</f>
        <v>0.90980000000000005</v>
      </c>
    </row>
    <row r="36" spans="1:9" s="2" customFormat="1" ht="47.25" x14ac:dyDescent="0.25">
      <c r="A36" s="15"/>
      <c r="B36" s="16" t="s">
        <v>37</v>
      </c>
      <c r="C36" s="16" t="s">
        <v>27</v>
      </c>
      <c r="D36" s="17">
        <v>3321.1</v>
      </c>
      <c r="E36" s="17">
        <v>3321.1</v>
      </c>
      <c r="F36" s="17">
        <v>3253.5</v>
      </c>
      <c r="G36" s="17">
        <v>3253.5</v>
      </c>
      <c r="H36" s="30" t="s">
        <v>16</v>
      </c>
      <c r="I36" s="31">
        <f t="shared" si="5"/>
        <v>0.97960000000000003</v>
      </c>
    </row>
    <row r="37" spans="1:9" s="2" customFormat="1" ht="63" x14ac:dyDescent="0.25">
      <c r="A37" s="15"/>
      <c r="B37" s="16" t="s">
        <v>38</v>
      </c>
      <c r="C37" s="16" t="s">
        <v>15</v>
      </c>
      <c r="D37" s="17">
        <v>1072</v>
      </c>
      <c r="E37" s="17">
        <v>1072</v>
      </c>
      <c r="F37" s="17">
        <v>1072</v>
      </c>
      <c r="G37" s="17">
        <v>1050.2</v>
      </c>
      <c r="H37" s="32" t="s">
        <v>16</v>
      </c>
      <c r="I37" s="27">
        <f t="shared" si="5"/>
        <v>0.97970000000000002</v>
      </c>
    </row>
    <row r="38" spans="1:9" s="2" customFormat="1" x14ac:dyDescent="0.25">
      <c r="A38" s="118"/>
      <c r="B38" s="94" t="s">
        <v>33</v>
      </c>
      <c r="C38" s="13" t="s">
        <v>34</v>
      </c>
      <c r="D38" s="28">
        <f>D39+D40</f>
        <v>5762.2999999999993</v>
      </c>
      <c r="E38" s="28">
        <f>E39+E40</f>
        <v>5762.2999999999993</v>
      </c>
      <c r="F38" s="28">
        <f>F39+F40-0.1</f>
        <v>5573.2999999999993</v>
      </c>
      <c r="G38" s="28">
        <f>G39+G40</f>
        <v>5549.4</v>
      </c>
      <c r="H38" s="33" t="s">
        <v>16</v>
      </c>
      <c r="I38" s="34">
        <f t="shared" si="5"/>
        <v>0.96309999999999996</v>
      </c>
    </row>
    <row r="39" spans="1:9" s="2" customFormat="1" ht="31.5" x14ac:dyDescent="0.25">
      <c r="A39" s="98"/>
      <c r="B39" s="112"/>
      <c r="C39" s="16" t="s">
        <v>15</v>
      </c>
      <c r="D39" s="17">
        <f>D35+D37</f>
        <v>2441.1999999999998</v>
      </c>
      <c r="E39" s="17">
        <f>E35+E37</f>
        <v>2441.1999999999998</v>
      </c>
      <c r="F39" s="17">
        <f>F35+F37</f>
        <v>2319.9</v>
      </c>
      <c r="G39" s="17">
        <f>G35+G37</f>
        <v>2295.9</v>
      </c>
      <c r="H39" s="32" t="s">
        <v>16</v>
      </c>
      <c r="I39" s="27">
        <f t="shared" si="5"/>
        <v>0.9405</v>
      </c>
    </row>
    <row r="40" spans="1:9" s="2" customFormat="1" ht="47.25" x14ac:dyDescent="0.25">
      <c r="A40" s="99"/>
      <c r="B40" s="104"/>
      <c r="C40" s="16" t="s">
        <v>27</v>
      </c>
      <c r="D40" s="17">
        <f>D36</f>
        <v>3321.1</v>
      </c>
      <c r="E40" s="17">
        <f>E36</f>
        <v>3321.1</v>
      </c>
      <c r="F40" s="17">
        <f>F36</f>
        <v>3253.5</v>
      </c>
      <c r="G40" s="17">
        <f>G36</f>
        <v>3253.5</v>
      </c>
      <c r="H40" s="18" t="s">
        <v>16</v>
      </c>
      <c r="I40" s="19">
        <f t="shared" si="5"/>
        <v>0.97960000000000003</v>
      </c>
    </row>
    <row r="41" spans="1:9" s="4" customFormat="1" x14ac:dyDescent="0.25">
      <c r="A41" s="35"/>
      <c r="B41" s="100" t="s">
        <v>39</v>
      </c>
      <c r="C41" s="101"/>
      <c r="D41" s="101"/>
      <c r="E41" s="101"/>
      <c r="F41" s="101"/>
      <c r="G41" s="101"/>
      <c r="H41" s="101"/>
      <c r="I41" s="102"/>
    </row>
    <row r="42" spans="1:9" s="4" customFormat="1" ht="78.75" x14ac:dyDescent="0.25">
      <c r="A42" s="15"/>
      <c r="B42" s="16" t="s">
        <v>40</v>
      </c>
      <c r="C42" s="16" t="s">
        <v>15</v>
      </c>
      <c r="D42" s="17">
        <v>368054.9</v>
      </c>
      <c r="E42" s="17">
        <v>368054.9</v>
      </c>
      <c r="F42" s="17">
        <v>351095.3</v>
      </c>
      <c r="G42" s="17">
        <v>351095.3</v>
      </c>
      <c r="H42" s="32" t="s">
        <v>16</v>
      </c>
      <c r="I42" s="27">
        <f t="shared" ref="I42:I49" si="6">ROUND(G42/E42,4)</f>
        <v>0.95389999999999997</v>
      </c>
    </row>
    <row r="43" spans="1:9" s="4" customFormat="1" ht="78.75" x14ac:dyDescent="0.25">
      <c r="A43" s="15"/>
      <c r="B43" s="16" t="s">
        <v>41</v>
      </c>
      <c r="C43" s="16" t="s">
        <v>15</v>
      </c>
      <c r="D43" s="17">
        <v>9600</v>
      </c>
      <c r="E43" s="17">
        <v>9600</v>
      </c>
      <c r="F43" s="17">
        <v>9400</v>
      </c>
      <c r="G43" s="17">
        <v>9400</v>
      </c>
      <c r="H43" s="32" t="s">
        <v>16</v>
      </c>
      <c r="I43" s="27">
        <f t="shared" si="6"/>
        <v>0.97919999999999996</v>
      </c>
    </row>
    <row r="44" spans="1:9" s="4" customFormat="1" ht="78.75" x14ac:dyDescent="0.25">
      <c r="A44" s="15"/>
      <c r="B44" s="16" t="s">
        <v>42</v>
      </c>
      <c r="C44" s="16" t="s">
        <v>27</v>
      </c>
      <c r="D44" s="17">
        <v>28709.5</v>
      </c>
      <c r="E44" s="17">
        <v>28709.5</v>
      </c>
      <c r="F44" s="17">
        <v>28709.5</v>
      </c>
      <c r="G44" s="17">
        <v>28709.5</v>
      </c>
      <c r="H44" s="32" t="s">
        <v>16</v>
      </c>
      <c r="I44" s="27">
        <f t="shared" si="6"/>
        <v>1</v>
      </c>
    </row>
    <row r="45" spans="1:9" s="4" customFormat="1" ht="94.5" x14ac:dyDescent="0.25">
      <c r="A45" s="15"/>
      <c r="B45" s="16" t="s">
        <v>43</v>
      </c>
      <c r="C45" s="16" t="s">
        <v>27</v>
      </c>
      <c r="D45" s="17">
        <v>518367.7</v>
      </c>
      <c r="E45" s="17">
        <v>518367.7</v>
      </c>
      <c r="F45" s="17">
        <v>489960</v>
      </c>
      <c r="G45" s="17">
        <v>489960</v>
      </c>
      <c r="H45" s="18" t="s">
        <v>16</v>
      </c>
      <c r="I45" s="27">
        <f t="shared" si="6"/>
        <v>0.94520000000000004</v>
      </c>
    </row>
    <row r="46" spans="1:9" s="4" customFormat="1" ht="78.75" x14ac:dyDescent="0.25">
      <c r="A46" s="15"/>
      <c r="B46" s="16" t="s">
        <v>44</v>
      </c>
      <c r="C46" s="16" t="s">
        <v>15</v>
      </c>
      <c r="D46" s="17">
        <v>9266</v>
      </c>
      <c r="E46" s="17">
        <v>9266</v>
      </c>
      <c r="F46" s="17">
        <v>9266</v>
      </c>
      <c r="G46" s="17">
        <v>9266</v>
      </c>
      <c r="H46" s="36" t="s">
        <v>16</v>
      </c>
      <c r="I46" s="19">
        <f t="shared" si="6"/>
        <v>1</v>
      </c>
    </row>
    <row r="47" spans="1:9" s="4" customFormat="1" x14ac:dyDescent="0.25">
      <c r="A47" s="118"/>
      <c r="B47" s="94" t="s">
        <v>33</v>
      </c>
      <c r="C47" s="13" t="s">
        <v>34</v>
      </c>
      <c r="D47" s="28">
        <f>D48+D49</f>
        <v>933998.1</v>
      </c>
      <c r="E47" s="28">
        <f>E48+E49</f>
        <v>933998.1</v>
      </c>
      <c r="F47" s="28">
        <f>F48+F49</f>
        <v>888430.8</v>
      </c>
      <c r="G47" s="28">
        <f>G48+G49</f>
        <v>888430.8</v>
      </c>
      <c r="H47" s="37" t="s">
        <v>16</v>
      </c>
      <c r="I47" s="38">
        <f t="shared" si="6"/>
        <v>0.95120000000000005</v>
      </c>
    </row>
    <row r="48" spans="1:9" s="2" customFormat="1" ht="31.5" x14ac:dyDescent="0.25">
      <c r="A48" s="98"/>
      <c r="B48" s="112"/>
      <c r="C48" s="16" t="s">
        <v>15</v>
      </c>
      <c r="D48" s="17">
        <f>D42+D43+D46</f>
        <v>386920.9</v>
      </c>
      <c r="E48" s="17">
        <f t="shared" ref="E48:G48" si="7">E42+E43+E46</f>
        <v>386920.9</v>
      </c>
      <c r="F48" s="17">
        <f t="shared" si="7"/>
        <v>369761.3</v>
      </c>
      <c r="G48" s="17">
        <f t="shared" si="7"/>
        <v>369761.3</v>
      </c>
      <c r="H48" s="36" t="s">
        <v>16</v>
      </c>
      <c r="I48" s="39">
        <f t="shared" si="6"/>
        <v>0.95569999999999999</v>
      </c>
    </row>
    <row r="49" spans="1:9" s="2" customFormat="1" ht="47.25" x14ac:dyDescent="0.25">
      <c r="A49" s="99"/>
      <c r="B49" s="104"/>
      <c r="C49" s="16" t="s">
        <v>27</v>
      </c>
      <c r="D49" s="17">
        <f>D44+D45</f>
        <v>547077.19999999995</v>
      </c>
      <c r="E49" s="17">
        <f>E44+E45</f>
        <v>547077.19999999995</v>
      </c>
      <c r="F49" s="17">
        <f>F44+F45</f>
        <v>518669.5</v>
      </c>
      <c r="G49" s="17">
        <f>G44+G45</f>
        <v>518669.5</v>
      </c>
      <c r="H49" s="36" t="s">
        <v>16</v>
      </c>
      <c r="I49" s="39">
        <f t="shared" si="6"/>
        <v>0.94810000000000005</v>
      </c>
    </row>
    <row r="50" spans="1:9" s="2" customFormat="1" x14ac:dyDescent="0.25">
      <c r="A50" s="35"/>
      <c r="B50" s="100" t="s">
        <v>46</v>
      </c>
      <c r="C50" s="101"/>
      <c r="D50" s="101"/>
      <c r="E50" s="101"/>
      <c r="F50" s="101"/>
      <c r="G50" s="101"/>
      <c r="H50" s="101"/>
      <c r="I50" s="102"/>
    </row>
    <row r="51" spans="1:9" s="4" customFormat="1" ht="78.75" x14ac:dyDescent="0.25">
      <c r="A51" s="15"/>
      <c r="B51" s="16" t="s">
        <v>47</v>
      </c>
      <c r="C51" s="16" t="s">
        <v>15</v>
      </c>
      <c r="D51" s="17">
        <v>198645.8</v>
      </c>
      <c r="E51" s="17">
        <v>198645.8</v>
      </c>
      <c r="F51" s="17">
        <v>180283.4</v>
      </c>
      <c r="G51" s="17">
        <v>180283.4</v>
      </c>
      <c r="H51" s="18" t="s">
        <v>16</v>
      </c>
      <c r="I51" s="19">
        <f t="shared" ref="I51:I67" si="8">ROUND(G51/E51,4)</f>
        <v>0.90759999999999996</v>
      </c>
    </row>
    <row r="52" spans="1:9" s="4" customFormat="1" ht="94.5" x14ac:dyDescent="0.25">
      <c r="A52" s="15"/>
      <c r="B52" s="16" t="s">
        <v>48</v>
      </c>
      <c r="C52" s="16" t="s">
        <v>15</v>
      </c>
      <c r="D52" s="17">
        <v>8549.2000000000007</v>
      </c>
      <c r="E52" s="17">
        <v>8549.2000000000007</v>
      </c>
      <c r="F52" s="17">
        <v>7849.2</v>
      </c>
      <c r="G52" s="17">
        <v>7849.2</v>
      </c>
      <c r="H52" s="18" t="s">
        <v>16</v>
      </c>
      <c r="I52" s="19">
        <f t="shared" si="8"/>
        <v>0.91810000000000003</v>
      </c>
    </row>
    <row r="53" spans="1:9" s="4" customFormat="1" ht="94.5" x14ac:dyDescent="0.25">
      <c r="A53" s="15"/>
      <c r="B53" s="16" t="s">
        <v>49</v>
      </c>
      <c r="C53" s="16" t="s">
        <v>27</v>
      </c>
      <c r="D53" s="40">
        <v>1260.5</v>
      </c>
      <c r="E53" s="40">
        <v>1260.5</v>
      </c>
      <c r="F53" s="40">
        <v>1055</v>
      </c>
      <c r="G53" s="40">
        <v>1055</v>
      </c>
      <c r="H53" s="18" t="s">
        <v>16</v>
      </c>
      <c r="I53" s="19">
        <f t="shared" si="8"/>
        <v>0.83699999999999997</v>
      </c>
    </row>
    <row r="54" spans="1:9" s="4" customFormat="1" ht="63" x14ac:dyDescent="0.25">
      <c r="A54" s="15"/>
      <c r="B54" s="16" t="s">
        <v>293</v>
      </c>
      <c r="C54" s="16" t="s">
        <v>27</v>
      </c>
      <c r="D54" s="17">
        <v>718849.1</v>
      </c>
      <c r="E54" s="17">
        <v>718849.1</v>
      </c>
      <c r="F54" s="17">
        <v>702898.8</v>
      </c>
      <c r="G54" s="17">
        <v>702898.8</v>
      </c>
      <c r="H54" s="18" t="s">
        <v>16</v>
      </c>
      <c r="I54" s="19">
        <f t="shared" si="8"/>
        <v>0.9778</v>
      </c>
    </row>
    <row r="55" spans="1:9" s="4" customFormat="1" ht="47.25" x14ac:dyDescent="0.25">
      <c r="A55" s="15"/>
      <c r="B55" s="16" t="s">
        <v>50</v>
      </c>
      <c r="C55" s="16" t="s">
        <v>27</v>
      </c>
      <c r="D55" s="17">
        <v>19866.7</v>
      </c>
      <c r="E55" s="17">
        <v>19866.7</v>
      </c>
      <c r="F55" s="17">
        <v>19050</v>
      </c>
      <c r="G55" s="17">
        <v>19050</v>
      </c>
      <c r="H55" s="18" t="s">
        <v>16</v>
      </c>
      <c r="I55" s="19">
        <f t="shared" si="8"/>
        <v>0.95889999999999997</v>
      </c>
    </row>
    <row r="56" spans="1:9" s="4" customFormat="1" ht="78.75" x14ac:dyDescent="0.25">
      <c r="A56" s="15"/>
      <c r="B56" s="16" t="s">
        <v>51</v>
      </c>
      <c r="C56" s="16" t="s">
        <v>15</v>
      </c>
      <c r="D56" s="17">
        <v>170</v>
      </c>
      <c r="E56" s="17">
        <v>170</v>
      </c>
      <c r="F56" s="17">
        <v>140.19999999999999</v>
      </c>
      <c r="G56" s="17">
        <v>113.8</v>
      </c>
      <c r="H56" s="18" t="s">
        <v>16</v>
      </c>
      <c r="I56" s="19">
        <f t="shared" si="8"/>
        <v>0.6694</v>
      </c>
    </row>
    <row r="57" spans="1:9" s="4" customFormat="1" ht="110.25" x14ac:dyDescent="0.25">
      <c r="A57" s="15"/>
      <c r="B57" s="16" t="s">
        <v>52</v>
      </c>
      <c r="C57" s="16" t="s">
        <v>15</v>
      </c>
      <c r="D57" s="40">
        <v>3392.7</v>
      </c>
      <c r="E57" s="40">
        <v>3392.7</v>
      </c>
      <c r="F57" s="40">
        <v>2839.4</v>
      </c>
      <c r="G57" s="40">
        <v>2687.1</v>
      </c>
      <c r="H57" s="18" t="s">
        <v>16</v>
      </c>
      <c r="I57" s="19">
        <f t="shared" si="8"/>
        <v>0.79200000000000004</v>
      </c>
    </row>
    <row r="58" spans="1:9" s="4" customFormat="1" ht="204.75" x14ac:dyDescent="0.25">
      <c r="A58" s="15"/>
      <c r="B58" s="16" t="s">
        <v>286</v>
      </c>
      <c r="C58" s="16" t="s">
        <v>29</v>
      </c>
      <c r="D58" s="40">
        <v>973.9</v>
      </c>
      <c r="E58" s="40">
        <v>973.9</v>
      </c>
      <c r="F58" s="40">
        <v>973.9</v>
      </c>
      <c r="G58" s="40">
        <v>973.9</v>
      </c>
      <c r="H58" s="18" t="s">
        <v>16</v>
      </c>
      <c r="I58" s="19">
        <f t="shared" si="8"/>
        <v>1</v>
      </c>
    </row>
    <row r="59" spans="1:9" s="4" customFormat="1" ht="31.5" x14ac:dyDescent="0.25">
      <c r="A59" s="15"/>
      <c r="B59" s="16" t="s">
        <v>53</v>
      </c>
      <c r="C59" s="16" t="s">
        <v>29</v>
      </c>
      <c r="D59" s="17">
        <v>61535.9</v>
      </c>
      <c r="E59" s="17">
        <v>61535.9</v>
      </c>
      <c r="F59" s="17">
        <v>61535.9</v>
      </c>
      <c r="G59" s="17">
        <v>61535.9</v>
      </c>
      <c r="H59" s="18" t="s">
        <v>16</v>
      </c>
      <c r="I59" s="19">
        <f t="shared" si="8"/>
        <v>1</v>
      </c>
    </row>
    <row r="60" spans="1:9" s="4" customFormat="1" ht="94.5" x14ac:dyDescent="0.25">
      <c r="A60" s="15"/>
      <c r="B60" s="16" t="s">
        <v>54</v>
      </c>
      <c r="C60" s="16" t="s">
        <v>27</v>
      </c>
      <c r="D60" s="17">
        <v>8328.7999999999993</v>
      </c>
      <c r="E60" s="17">
        <v>8328.7999999999993</v>
      </c>
      <c r="F60" s="17">
        <v>6870</v>
      </c>
      <c r="G60" s="17">
        <v>6870</v>
      </c>
      <c r="H60" s="18" t="s">
        <v>16</v>
      </c>
      <c r="I60" s="19">
        <f t="shared" si="8"/>
        <v>0.82479999999999998</v>
      </c>
    </row>
    <row r="61" spans="1:9" s="4" customFormat="1" ht="94.5" x14ac:dyDescent="0.25">
      <c r="A61" s="15"/>
      <c r="B61" s="41" t="s">
        <v>295</v>
      </c>
      <c r="C61" s="16" t="s">
        <v>27</v>
      </c>
      <c r="D61" s="42">
        <v>2797.1</v>
      </c>
      <c r="E61" s="42">
        <v>2797.1</v>
      </c>
      <c r="F61" s="42">
        <v>2797</v>
      </c>
      <c r="G61" s="42">
        <v>2797</v>
      </c>
      <c r="H61" s="18" t="s">
        <v>16</v>
      </c>
      <c r="I61" s="19">
        <f t="shared" si="8"/>
        <v>1</v>
      </c>
    </row>
    <row r="62" spans="1:9" s="4" customFormat="1" ht="31.5" x14ac:dyDescent="0.25">
      <c r="A62" s="119"/>
      <c r="B62" s="103" t="s">
        <v>55</v>
      </c>
      <c r="C62" s="16" t="s">
        <v>29</v>
      </c>
      <c r="D62" s="17">
        <v>25230.2</v>
      </c>
      <c r="E62" s="17">
        <v>25230.2</v>
      </c>
      <c r="F62" s="17">
        <v>25230.2</v>
      </c>
      <c r="G62" s="17">
        <v>25230.2</v>
      </c>
      <c r="H62" s="18" t="s">
        <v>16</v>
      </c>
      <c r="I62" s="19">
        <f t="shared" si="8"/>
        <v>1</v>
      </c>
    </row>
    <row r="63" spans="1:9" s="4" customFormat="1" ht="31.5" x14ac:dyDescent="0.25">
      <c r="A63" s="120"/>
      <c r="B63" s="104"/>
      <c r="C63" s="16" t="s">
        <v>15</v>
      </c>
      <c r="D63" s="17">
        <v>515</v>
      </c>
      <c r="E63" s="17">
        <v>515</v>
      </c>
      <c r="F63" s="17">
        <v>515</v>
      </c>
      <c r="G63" s="17">
        <v>515</v>
      </c>
      <c r="H63" s="18" t="s">
        <v>16</v>
      </c>
      <c r="I63" s="19">
        <f t="shared" si="8"/>
        <v>1</v>
      </c>
    </row>
    <row r="64" spans="1:9" s="4" customFormat="1" ht="189" x14ac:dyDescent="0.25">
      <c r="A64" s="15"/>
      <c r="B64" s="16" t="s">
        <v>297</v>
      </c>
      <c r="C64" s="16" t="s">
        <v>27</v>
      </c>
      <c r="D64" s="17">
        <v>845.2</v>
      </c>
      <c r="E64" s="17">
        <v>845.2</v>
      </c>
      <c r="F64" s="17">
        <v>845.2</v>
      </c>
      <c r="G64" s="17">
        <v>845.2</v>
      </c>
      <c r="H64" s="18" t="s">
        <v>16</v>
      </c>
      <c r="I64" s="19">
        <f t="shared" si="8"/>
        <v>1</v>
      </c>
    </row>
    <row r="65" spans="1:9" s="4" customFormat="1" ht="94.5" x14ac:dyDescent="0.25">
      <c r="A65" s="15"/>
      <c r="B65" s="16" t="s">
        <v>298</v>
      </c>
      <c r="C65" s="16" t="s">
        <v>27</v>
      </c>
      <c r="D65" s="17">
        <v>486.4</v>
      </c>
      <c r="E65" s="17">
        <v>486.4</v>
      </c>
      <c r="F65" s="17">
        <v>486.4</v>
      </c>
      <c r="G65" s="17">
        <v>486.4</v>
      </c>
      <c r="H65" s="18" t="s">
        <v>16</v>
      </c>
      <c r="I65" s="19">
        <f t="shared" si="8"/>
        <v>1</v>
      </c>
    </row>
    <row r="66" spans="1:9" s="4" customFormat="1" ht="78.75" x14ac:dyDescent="0.25">
      <c r="A66" s="15"/>
      <c r="B66" s="16" t="s">
        <v>296</v>
      </c>
      <c r="C66" s="16" t="s">
        <v>15</v>
      </c>
      <c r="D66" s="17">
        <v>486.4</v>
      </c>
      <c r="E66" s="17">
        <v>486.4</v>
      </c>
      <c r="F66" s="17">
        <v>486.4</v>
      </c>
      <c r="G66" s="17">
        <v>486.4</v>
      </c>
      <c r="H66" s="18" t="s">
        <v>16</v>
      </c>
      <c r="I66" s="19">
        <f t="shared" si="8"/>
        <v>1</v>
      </c>
    </row>
    <row r="67" spans="1:9" s="4" customFormat="1" ht="204.75" x14ac:dyDescent="0.25">
      <c r="A67" s="15"/>
      <c r="B67" s="16" t="s">
        <v>286</v>
      </c>
      <c r="C67" s="16" t="s">
        <v>27</v>
      </c>
      <c r="D67" s="17">
        <v>44.3</v>
      </c>
      <c r="E67" s="17">
        <v>44.3</v>
      </c>
      <c r="F67" s="17">
        <v>44.3</v>
      </c>
      <c r="G67" s="17">
        <v>44.3</v>
      </c>
      <c r="H67" s="18" t="s">
        <v>16</v>
      </c>
      <c r="I67" s="19">
        <f t="shared" si="8"/>
        <v>1</v>
      </c>
    </row>
    <row r="68" spans="1:9" s="4" customFormat="1" ht="94.5" x14ac:dyDescent="0.25">
      <c r="A68" s="15"/>
      <c r="B68" s="16" t="s">
        <v>57</v>
      </c>
      <c r="C68" s="16" t="s">
        <v>56</v>
      </c>
      <c r="D68" s="17">
        <v>7372.7</v>
      </c>
      <c r="E68" s="17">
        <v>7372.7</v>
      </c>
      <c r="F68" s="17">
        <v>7372.7</v>
      </c>
      <c r="G68" s="17">
        <v>7372.7</v>
      </c>
      <c r="H68" s="18" t="s">
        <v>16</v>
      </c>
      <c r="I68" s="19">
        <f t="shared" ref="I68:I74" si="9">ROUND(G68/E68,4)</f>
        <v>1</v>
      </c>
    </row>
    <row r="69" spans="1:9" s="4" customFormat="1" ht="94.5" x14ac:dyDescent="0.25">
      <c r="A69" s="15"/>
      <c r="B69" s="16" t="s">
        <v>45</v>
      </c>
      <c r="C69" s="16" t="s">
        <v>15</v>
      </c>
      <c r="D69" s="17">
        <v>211.9</v>
      </c>
      <c r="E69" s="17">
        <v>211.9</v>
      </c>
      <c r="F69" s="17">
        <v>131.9</v>
      </c>
      <c r="G69" s="17">
        <v>131.9</v>
      </c>
      <c r="H69" s="18" t="s">
        <v>16</v>
      </c>
      <c r="I69" s="19">
        <f t="shared" si="9"/>
        <v>0.62250000000000005</v>
      </c>
    </row>
    <row r="70" spans="1:9" s="4" customFormat="1" ht="78.75" x14ac:dyDescent="0.25">
      <c r="A70" s="15"/>
      <c r="B70" s="16" t="s">
        <v>294</v>
      </c>
      <c r="C70" s="16" t="s">
        <v>27</v>
      </c>
      <c r="D70" s="17">
        <v>1522.5</v>
      </c>
      <c r="E70" s="17">
        <v>1522.5</v>
      </c>
      <c r="F70" s="17">
        <v>1450</v>
      </c>
      <c r="G70" s="17">
        <v>1450</v>
      </c>
      <c r="H70" s="18" t="s">
        <v>16</v>
      </c>
      <c r="I70" s="19">
        <f t="shared" si="9"/>
        <v>0.95240000000000002</v>
      </c>
    </row>
    <row r="71" spans="1:9" s="4" customFormat="1" x14ac:dyDescent="0.25">
      <c r="A71" s="118"/>
      <c r="B71" s="94" t="s">
        <v>33</v>
      </c>
      <c r="C71" s="13" t="s">
        <v>34</v>
      </c>
      <c r="D71" s="28">
        <f>D72+D74+D73</f>
        <v>1061084.4000000001</v>
      </c>
      <c r="E71" s="28">
        <f>E72+E74+E73</f>
        <v>1061084.4000000001</v>
      </c>
      <c r="F71" s="28">
        <f>F72+F74+F73</f>
        <v>1022855</v>
      </c>
      <c r="G71" s="28">
        <f>G72+G74+G73</f>
        <v>1022676.2</v>
      </c>
      <c r="H71" s="43" t="s">
        <v>16</v>
      </c>
      <c r="I71" s="44">
        <f t="shared" si="9"/>
        <v>0.96379999999999999</v>
      </c>
    </row>
    <row r="72" spans="1:9" s="2" customFormat="1" ht="31.5" x14ac:dyDescent="0.25">
      <c r="A72" s="98"/>
      <c r="B72" s="112"/>
      <c r="C72" s="16" t="s">
        <v>15</v>
      </c>
      <c r="D72" s="17">
        <f>D51+D52+D56+D57+D63+D66+D69+0.1</f>
        <v>211971.1</v>
      </c>
      <c r="E72" s="17">
        <f>E51+E52+E56+E57+E63+E66+E69+0.1</f>
        <v>211971.1</v>
      </c>
      <c r="F72" s="17">
        <f>F51+F52+F56+F57+F63+F66+F69+0.1</f>
        <v>192245.6</v>
      </c>
      <c r="G72" s="17">
        <f>G51+G52+G56+G57+G63+G66+G69</f>
        <v>192066.8</v>
      </c>
      <c r="H72" s="18" t="s">
        <v>16</v>
      </c>
      <c r="I72" s="19">
        <f t="shared" si="9"/>
        <v>0.90610000000000002</v>
      </c>
    </row>
    <row r="73" spans="1:9" s="2" customFormat="1" ht="31.5" x14ac:dyDescent="0.25">
      <c r="A73" s="98"/>
      <c r="B73" s="112"/>
      <c r="C73" s="16" t="s">
        <v>29</v>
      </c>
      <c r="D73" s="17">
        <f>D68+D62+D59+D58</f>
        <v>95112.7</v>
      </c>
      <c r="E73" s="17">
        <f>E68+E62+E59+E58</f>
        <v>95112.7</v>
      </c>
      <c r="F73" s="17">
        <f>F68+F62+F59+F58</f>
        <v>95112.7</v>
      </c>
      <c r="G73" s="17">
        <f>G68+G62+G59+G58</f>
        <v>95112.7</v>
      </c>
      <c r="H73" s="18" t="s">
        <v>16</v>
      </c>
      <c r="I73" s="19">
        <f t="shared" si="9"/>
        <v>1</v>
      </c>
    </row>
    <row r="74" spans="1:9" s="2" customFormat="1" ht="47.25" x14ac:dyDescent="0.25">
      <c r="A74" s="99"/>
      <c r="B74" s="104"/>
      <c r="C74" s="16" t="s">
        <v>27</v>
      </c>
      <c r="D74" s="17">
        <f>D64+D61+D60+D55+D54+D53+D70+D67+D65</f>
        <v>754000.60000000009</v>
      </c>
      <c r="E74" s="17">
        <f>E64+E61+E60+E55+E54+E53+E70+E67+E65</f>
        <v>754000.60000000009</v>
      </c>
      <c r="F74" s="17">
        <f>F64+F61+F60+F55+F54+F53+F70+F67+F65</f>
        <v>735496.70000000007</v>
      </c>
      <c r="G74" s="17">
        <f>G64+G61+G60+G55+G54+G53+G70+G67+G65</f>
        <v>735496.70000000007</v>
      </c>
      <c r="H74" s="18" t="s">
        <v>16</v>
      </c>
      <c r="I74" s="19">
        <f t="shared" si="9"/>
        <v>0.97550000000000003</v>
      </c>
    </row>
    <row r="75" spans="1:9" s="2" customFormat="1" x14ac:dyDescent="0.25">
      <c r="A75" s="35"/>
      <c r="B75" s="100" t="s">
        <v>58</v>
      </c>
      <c r="C75" s="101"/>
      <c r="D75" s="101"/>
      <c r="E75" s="101"/>
      <c r="F75" s="101"/>
      <c r="G75" s="101"/>
      <c r="H75" s="101"/>
      <c r="I75" s="102"/>
    </row>
    <row r="76" spans="1:9" s="4" customFormat="1" ht="78.75" x14ac:dyDescent="0.25">
      <c r="A76" s="45"/>
      <c r="B76" s="16" t="s">
        <v>47</v>
      </c>
      <c r="C76" s="16" t="s">
        <v>15</v>
      </c>
      <c r="D76" s="17">
        <v>195792.2</v>
      </c>
      <c r="E76" s="17">
        <v>195792.2</v>
      </c>
      <c r="F76" s="17">
        <v>192436.7</v>
      </c>
      <c r="G76" s="17">
        <v>192436.7</v>
      </c>
      <c r="H76" s="18" t="s">
        <v>16</v>
      </c>
      <c r="I76" s="19">
        <f>ROUND(G76/E76,4)</f>
        <v>0.9829</v>
      </c>
    </row>
    <row r="77" spans="1:9" s="2" customFormat="1" ht="78.75" x14ac:dyDescent="0.25">
      <c r="A77" s="45"/>
      <c r="B77" s="16" t="s">
        <v>41</v>
      </c>
      <c r="C77" s="16" t="s">
        <v>15</v>
      </c>
      <c r="D77" s="17">
        <v>1950</v>
      </c>
      <c r="E77" s="17">
        <v>1950</v>
      </c>
      <c r="F77" s="17">
        <v>1818.9</v>
      </c>
      <c r="G77" s="17">
        <v>1817.7</v>
      </c>
      <c r="H77" s="18" t="s">
        <v>16</v>
      </c>
      <c r="I77" s="19">
        <f>ROUND(G77/E77,4)</f>
        <v>0.93220000000000003</v>
      </c>
    </row>
    <row r="78" spans="1:9" s="2" customFormat="1" ht="31.5" x14ac:dyDescent="0.25">
      <c r="A78" s="45"/>
      <c r="B78" s="16" t="s">
        <v>59</v>
      </c>
      <c r="C78" s="16" t="s">
        <v>15</v>
      </c>
      <c r="D78" s="17">
        <v>606.29999999999995</v>
      </c>
      <c r="E78" s="17">
        <v>606.29999999999995</v>
      </c>
      <c r="F78" s="17">
        <v>329.9</v>
      </c>
      <c r="G78" s="17">
        <v>310.89999999999998</v>
      </c>
      <c r="H78" s="18" t="s">
        <v>16</v>
      </c>
      <c r="I78" s="19">
        <f>ROUND(G78/E78,4)</f>
        <v>0.51280000000000003</v>
      </c>
    </row>
    <row r="79" spans="1:9" s="2" customFormat="1" ht="78.75" x14ac:dyDescent="0.25">
      <c r="A79" s="45"/>
      <c r="B79" s="16" t="s">
        <v>42</v>
      </c>
      <c r="C79" s="16" t="s">
        <v>27</v>
      </c>
      <c r="D79" s="17">
        <v>12826.2</v>
      </c>
      <c r="E79" s="17">
        <v>12826.2</v>
      </c>
      <c r="F79" s="17">
        <v>12826.2</v>
      </c>
      <c r="G79" s="17">
        <v>12826.2</v>
      </c>
      <c r="H79" s="18" t="s">
        <v>16</v>
      </c>
      <c r="I79" s="19">
        <f>ROUND(G79/E79,4)</f>
        <v>1</v>
      </c>
    </row>
    <row r="80" spans="1:9" s="2" customFormat="1" ht="78.75" x14ac:dyDescent="0.25">
      <c r="A80" s="45"/>
      <c r="B80" s="16" t="s">
        <v>60</v>
      </c>
      <c r="C80" s="16" t="s">
        <v>15</v>
      </c>
      <c r="D80" s="17">
        <v>4139.7</v>
      </c>
      <c r="E80" s="17">
        <v>4139.7</v>
      </c>
      <c r="F80" s="17">
        <v>4139.7</v>
      </c>
      <c r="G80" s="17">
        <v>4139.7</v>
      </c>
      <c r="H80" s="18" t="s">
        <v>16</v>
      </c>
      <c r="I80" s="19">
        <f>ROUND(G80/E80,4)</f>
        <v>1</v>
      </c>
    </row>
    <row r="81" spans="1:9" s="2" customFormat="1" ht="110.25" x14ac:dyDescent="0.25">
      <c r="A81" s="45"/>
      <c r="B81" s="16" t="s">
        <v>61</v>
      </c>
      <c r="C81" s="16" t="s">
        <v>15</v>
      </c>
      <c r="D81" s="17">
        <v>2900</v>
      </c>
      <c r="E81" s="17">
        <v>2900</v>
      </c>
      <c r="F81" s="17">
        <v>2805.4</v>
      </c>
      <c r="G81" s="17">
        <v>2805.4</v>
      </c>
      <c r="H81" s="18" t="s">
        <v>16</v>
      </c>
      <c r="I81" s="19">
        <f t="shared" ref="I81:I89" si="10">ROUND(G81/E81,4)</f>
        <v>0.96740000000000004</v>
      </c>
    </row>
    <row r="82" spans="1:9" s="2" customFormat="1" ht="110.25" x14ac:dyDescent="0.25">
      <c r="A82" s="45"/>
      <c r="B82" s="16" t="s">
        <v>62</v>
      </c>
      <c r="C82" s="16" t="s">
        <v>15</v>
      </c>
      <c r="D82" s="17">
        <v>2151</v>
      </c>
      <c r="E82" s="17">
        <v>2151</v>
      </c>
      <c r="F82" s="17">
        <v>1783.6</v>
      </c>
      <c r="G82" s="17">
        <v>1783.6</v>
      </c>
      <c r="H82" s="18" t="s">
        <v>16</v>
      </c>
      <c r="I82" s="19">
        <f t="shared" si="10"/>
        <v>0.82920000000000005</v>
      </c>
    </row>
    <row r="83" spans="1:9" s="2" customFormat="1" ht="110.25" x14ac:dyDescent="0.25">
      <c r="A83" s="45"/>
      <c r="B83" s="16" t="s">
        <v>63</v>
      </c>
      <c r="C83" s="16" t="s">
        <v>27</v>
      </c>
      <c r="D83" s="17">
        <v>58731.4</v>
      </c>
      <c r="E83" s="17">
        <v>58731.4</v>
      </c>
      <c r="F83" s="17">
        <v>58731.4</v>
      </c>
      <c r="G83" s="17">
        <v>58731.4</v>
      </c>
      <c r="H83" s="18" t="s">
        <v>16</v>
      </c>
      <c r="I83" s="19">
        <f t="shared" si="10"/>
        <v>1</v>
      </c>
    </row>
    <row r="84" spans="1:9" s="2" customFormat="1" ht="110.25" x14ac:dyDescent="0.25">
      <c r="A84" s="45"/>
      <c r="B84" s="16" t="s">
        <v>64</v>
      </c>
      <c r="C84" s="16" t="s">
        <v>15</v>
      </c>
      <c r="D84" s="17">
        <v>596.79999999999995</v>
      </c>
      <c r="E84" s="17">
        <v>596.79999999999995</v>
      </c>
      <c r="F84" s="17">
        <v>596.79999999999995</v>
      </c>
      <c r="G84" s="17">
        <v>596.79999999999995</v>
      </c>
      <c r="H84" s="18" t="s">
        <v>16</v>
      </c>
      <c r="I84" s="19">
        <f t="shared" si="10"/>
        <v>1</v>
      </c>
    </row>
    <row r="85" spans="1:9" s="2" customFormat="1" ht="94.5" x14ac:dyDescent="0.25">
      <c r="A85" s="45"/>
      <c r="B85" s="16" t="s">
        <v>65</v>
      </c>
      <c r="C85" s="16" t="s">
        <v>27</v>
      </c>
      <c r="D85" s="17">
        <v>20820.099999999999</v>
      </c>
      <c r="E85" s="17">
        <v>20820.099999999999</v>
      </c>
      <c r="F85" s="17">
        <v>20820.099999999999</v>
      </c>
      <c r="G85" s="17">
        <v>20820.099999999999</v>
      </c>
      <c r="H85" s="18" t="s">
        <v>16</v>
      </c>
      <c r="I85" s="19">
        <f t="shared" si="10"/>
        <v>1</v>
      </c>
    </row>
    <row r="86" spans="1:9" s="2" customFormat="1" ht="110.25" x14ac:dyDescent="0.25">
      <c r="A86" s="45"/>
      <c r="B86" s="16" t="s">
        <v>66</v>
      </c>
      <c r="C86" s="16" t="s">
        <v>15</v>
      </c>
      <c r="D86" s="17">
        <v>210.3</v>
      </c>
      <c r="E86" s="17">
        <v>210.3</v>
      </c>
      <c r="F86" s="17">
        <v>210.3</v>
      </c>
      <c r="G86" s="17">
        <v>210.3</v>
      </c>
      <c r="H86" s="18" t="s">
        <v>16</v>
      </c>
      <c r="I86" s="19">
        <f t="shared" si="10"/>
        <v>1</v>
      </c>
    </row>
    <row r="87" spans="1:9" s="2" customFormat="1" x14ac:dyDescent="0.25">
      <c r="A87" s="118"/>
      <c r="B87" s="94" t="s">
        <v>33</v>
      </c>
      <c r="C87" s="13" t="s">
        <v>34</v>
      </c>
      <c r="D87" s="28">
        <f>D88+D89</f>
        <v>300724</v>
      </c>
      <c r="E87" s="28">
        <f>E88+E89</f>
        <v>300724</v>
      </c>
      <c r="F87" s="28">
        <f>F88+F89</f>
        <v>296499</v>
      </c>
      <c r="G87" s="28">
        <f>G88+G89</f>
        <v>296478.90000000002</v>
      </c>
      <c r="H87" s="18" t="s">
        <v>16</v>
      </c>
      <c r="I87" s="19">
        <f t="shared" si="10"/>
        <v>0.9859</v>
      </c>
    </row>
    <row r="88" spans="1:9" s="2" customFormat="1" ht="31.5" x14ac:dyDescent="0.25">
      <c r="A88" s="98"/>
      <c r="B88" s="112"/>
      <c r="C88" s="16" t="s">
        <v>15</v>
      </c>
      <c r="D88" s="17">
        <f>D76+D77+D78+D80+D81+D82+D84+D86</f>
        <v>208346.3</v>
      </c>
      <c r="E88" s="17">
        <f t="shared" ref="E88:F88" si="11">E76+E77+E78+E80+E81+E82+E84+E86</f>
        <v>208346.3</v>
      </c>
      <c r="F88" s="17">
        <f t="shared" si="11"/>
        <v>204121.3</v>
      </c>
      <c r="G88" s="17">
        <f>G76+G77+G78+G80+G81+G82+G84+G86+0.1</f>
        <v>204101.2</v>
      </c>
      <c r="H88" s="18" t="s">
        <v>16</v>
      </c>
      <c r="I88" s="19">
        <f t="shared" si="10"/>
        <v>0.97960000000000003</v>
      </c>
    </row>
    <row r="89" spans="1:9" s="2" customFormat="1" ht="47.25" x14ac:dyDescent="0.25">
      <c r="A89" s="99"/>
      <c r="B89" s="104"/>
      <c r="C89" s="16" t="s">
        <v>27</v>
      </c>
      <c r="D89" s="17">
        <f>D79+D83+D85</f>
        <v>92377.700000000012</v>
      </c>
      <c r="E89" s="17">
        <f>E79+E83+E85</f>
        <v>92377.700000000012</v>
      </c>
      <c r="F89" s="17">
        <f>F79+F83+F85</f>
        <v>92377.700000000012</v>
      </c>
      <c r="G89" s="17">
        <f>G79+G83+G85</f>
        <v>92377.700000000012</v>
      </c>
      <c r="H89" s="18" t="s">
        <v>16</v>
      </c>
      <c r="I89" s="19">
        <f t="shared" si="10"/>
        <v>1</v>
      </c>
    </row>
    <row r="90" spans="1:9" s="2" customFormat="1" x14ac:dyDescent="0.25">
      <c r="A90" s="35"/>
      <c r="B90" s="100" t="s">
        <v>67</v>
      </c>
      <c r="C90" s="101"/>
      <c r="D90" s="101"/>
      <c r="E90" s="101"/>
      <c r="F90" s="101"/>
      <c r="G90" s="101"/>
      <c r="H90" s="101"/>
      <c r="I90" s="102"/>
    </row>
    <row r="91" spans="1:9" s="2" customFormat="1" ht="78.75" x14ac:dyDescent="0.25">
      <c r="A91" s="45"/>
      <c r="B91" s="16" t="s">
        <v>40</v>
      </c>
      <c r="C91" s="16" t="s">
        <v>15</v>
      </c>
      <c r="D91" s="17">
        <v>7973.6</v>
      </c>
      <c r="E91" s="17">
        <v>7973.6</v>
      </c>
      <c r="F91" s="17">
        <v>7973.6</v>
      </c>
      <c r="G91" s="17">
        <v>7973.6</v>
      </c>
      <c r="H91" s="18" t="s">
        <v>16</v>
      </c>
      <c r="I91" s="19">
        <f t="shared" ref="I91:I98" si="12">ROUND(G91/E91,4)</f>
        <v>1</v>
      </c>
    </row>
    <row r="92" spans="1:9" s="2" customFormat="1" ht="78.75" x14ac:dyDescent="0.25">
      <c r="A92" s="45"/>
      <c r="B92" s="16" t="s">
        <v>41</v>
      </c>
      <c r="C92" s="16" t="s">
        <v>15</v>
      </c>
      <c r="D92" s="17">
        <v>120.8</v>
      </c>
      <c r="E92" s="17">
        <v>120.8</v>
      </c>
      <c r="F92" s="17">
        <v>120.8</v>
      </c>
      <c r="G92" s="17">
        <v>120.8</v>
      </c>
      <c r="H92" s="18" t="s">
        <v>16</v>
      </c>
      <c r="I92" s="19">
        <f t="shared" si="12"/>
        <v>1</v>
      </c>
    </row>
    <row r="93" spans="1:9" s="4" customFormat="1" x14ac:dyDescent="0.25">
      <c r="A93" s="118"/>
      <c r="B93" s="94" t="s">
        <v>33</v>
      </c>
      <c r="C93" s="13" t="s">
        <v>34</v>
      </c>
      <c r="D93" s="28">
        <f>D94</f>
        <v>8094.4000000000005</v>
      </c>
      <c r="E93" s="28">
        <f>E94</f>
        <v>8094.4000000000005</v>
      </c>
      <c r="F93" s="28">
        <f>F94</f>
        <v>8094.4000000000005</v>
      </c>
      <c r="G93" s="28">
        <f>G94</f>
        <v>8094.4000000000005</v>
      </c>
      <c r="H93" s="18" t="s">
        <v>16</v>
      </c>
      <c r="I93" s="19">
        <f t="shared" si="12"/>
        <v>1</v>
      </c>
    </row>
    <row r="94" spans="1:9" s="2" customFormat="1" ht="31.5" x14ac:dyDescent="0.25">
      <c r="A94" s="99"/>
      <c r="B94" s="104"/>
      <c r="C94" s="16" t="s">
        <v>15</v>
      </c>
      <c r="D94" s="17">
        <f>D91+D92</f>
        <v>8094.4000000000005</v>
      </c>
      <c r="E94" s="17">
        <f>E91+E92</f>
        <v>8094.4000000000005</v>
      </c>
      <c r="F94" s="17">
        <f>F91+F92</f>
        <v>8094.4000000000005</v>
      </c>
      <c r="G94" s="17">
        <f>G91+G92</f>
        <v>8094.4000000000005</v>
      </c>
      <c r="H94" s="18" t="s">
        <v>16</v>
      </c>
      <c r="I94" s="19">
        <f t="shared" si="12"/>
        <v>1</v>
      </c>
    </row>
    <row r="95" spans="1:9" s="2" customFormat="1" x14ac:dyDescent="0.25">
      <c r="A95" s="97"/>
      <c r="B95" s="94" t="s">
        <v>68</v>
      </c>
      <c r="C95" s="13" t="s">
        <v>34</v>
      </c>
      <c r="D95" s="28">
        <f>D96+D97+D98</f>
        <v>2733736.6</v>
      </c>
      <c r="E95" s="28">
        <f t="shared" ref="E95:G95" si="13">E96+E97+E98</f>
        <v>2733736.6</v>
      </c>
      <c r="F95" s="28">
        <f t="shared" si="13"/>
        <v>2629395.4</v>
      </c>
      <c r="G95" s="28">
        <f t="shared" si="13"/>
        <v>2629087.1999999997</v>
      </c>
      <c r="H95" s="43" t="s">
        <v>16</v>
      </c>
      <c r="I95" s="44">
        <f t="shared" si="12"/>
        <v>0.9617</v>
      </c>
    </row>
    <row r="96" spans="1:9" s="2" customFormat="1" ht="31.5" x14ac:dyDescent="0.25">
      <c r="A96" s="98"/>
      <c r="B96" s="112"/>
      <c r="C96" s="46" t="s">
        <v>15</v>
      </c>
      <c r="D96" s="47">
        <f>D33+D39+D48+D72+D88+D94-0.1</f>
        <v>933757.40000000014</v>
      </c>
      <c r="E96" s="47">
        <f t="shared" ref="E96" si="14">E33+E39+E48+E72+E88+E94-0.1</f>
        <v>933757.40000000014</v>
      </c>
      <c r="F96" s="47">
        <f>F33+F39+F48+F72+F88+F94</f>
        <v>876401.20000000007</v>
      </c>
      <c r="G96" s="47">
        <f>G33+G39+G48+G72+G88+G94</f>
        <v>876092.99999999988</v>
      </c>
      <c r="H96" s="36" t="s">
        <v>16</v>
      </c>
      <c r="I96" s="39">
        <f t="shared" si="12"/>
        <v>0.93820000000000003</v>
      </c>
    </row>
    <row r="97" spans="1:9" s="2" customFormat="1" ht="47.25" x14ac:dyDescent="0.25">
      <c r="A97" s="98"/>
      <c r="B97" s="112"/>
      <c r="C97" s="16" t="s">
        <v>27</v>
      </c>
      <c r="D97" s="17">
        <f>D32+D40+D49+D74+D89</f>
        <v>1446535.0999999999</v>
      </c>
      <c r="E97" s="17">
        <f t="shared" ref="E97:G97" si="15">E32+E40+E49+E74+E89</f>
        <v>1446535.0999999999</v>
      </c>
      <c r="F97" s="17">
        <f t="shared" si="15"/>
        <v>1399550.0999999999</v>
      </c>
      <c r="G97" s="17">
        <f t="shared" si="15"/>
        <v>1399550.0999999999</v>
      </c>
      <c r="H97" s="18" t="s">
        <v>16</v>
      </c>
      <c r="I97" s="19">
        <f t="shared" si="12"/>
        <v>0.96750000000000003</v>
      </c>
    </row>
    <row r="98" spans="1:9" s="2" customFormat="1" ht="31.5" x14ac:dyDescent="0.25">
      <c r="A98" s="117"/>
      <c r="B98" s="117"/>
      <c r="C98" s="16" t="s">
        <v>29</v>
      </c>
      <c r="D98" s="17">
        <f>D31+D73</f>
        <v>353444.1</v>
      </c>
      <c r="E98" s="17">
        <f t="shared" ref="E98:G98" si="16">E31+E73</f>
        <v>353444.1</v>
      </c>
      <c r="F98" s="17">
        <f t="shared" si="16"/>
        <v>353444.1</v>
      </c>
      <c r="G98" s="17">
        <f t="shared" si="16"/>
        <v>353444.1</v>
      </c>
      <c r="H98" s="18" t="s">
        <v>16</v>
      </c>
      <c r="I98" s="19">
        <f t="shared" si="12"/>
        <v>1</v>
      </c>
    </row>
    <row r="99" spans="1:9" s="2" customFormat="1" x14ac:dyDescent="0.25">
      <c r="A99" s="13">
        <v>2</v>
      </c>
      <c r="B99" s="100" t="s">
        <v>69</v>
      </c>
      <c r="C99" s="101"/>
      <c r="D99" s="101"/>
      <c r="E99" s="101"/>
      <c r="F99" s="101"/>
      <c r="G99" s="101"/>
      <c r="H99" s="101"/>
      <c r="I99" s="102"/>
    </row>
    <row r="100" spans="1:9" s="2" customFormat="1" ht="31.5" x14ac:dyDescent="0.25">
      <c r="A100" s="15"/>
      <c r="B100" s="16" t="s">
        <v>70</v>
      </c>
      <c r="C100" s="16" t="s">
        <v>15</v>
      </c>
      <c r="D100" s="17">
        <v>18</v>
      </c>
      <c r="E100" s="17">
        <v>18</v>
      </c>
      <c r="F100" s="17">
        <v>18</v>
      </c>
      <c r="G100" s="17">
        <v>18</v>
      </c>
      <c r="H100" s="18" t="s">
        <v>16</v>
      </c>
      <c r="I100" s="19">
        <f t="shared" ref="I100:I106" si="17">ROUND(G100/E100,4)</f>
        <v>1</v>
      </c>
    </row>
    <row r="101" spans="1:9" s="2" customFormat="1" ht="173.25" x14ac:dyDescent="0.25">
      <c r="A101" s="15"/>
      <c r="B101" s="16" t="s">
        <v>71</v>
      </c>
      <c r="C101" s="16" t="s">
        <v>27</v>
      </c>
      <c r="D101" s="17">
        <v>1011.1</v>
      </c>
      <c r="E101" s="17">
        <v>1011.1</v>
      </c>
      <c r="F101" s="17">
        <v>1011.1</v>
      </c>
      <c r="G101" s="17">
        <v>1011.1</v>
      </c>
      <c r="H101" s="18" t="s">
        <v>16</v>
      </c>
      <c r="I101" s="19">
        <f t="shared" si="17"/>
        <v>1</v>
      </c>
    </row>
    <row r="102" spans="1:9" s="4" customFormat="1" ht="220.5" x14ac:dyDescent="0.25">
      <c r="A102" s="15"/>
      <c r="B102" s="16" t="s">
        <v>280</v>
      </c>
      <c r="C102" s="16" t="s">
        <v>27</v>
      </c>
      <c r="D102" s="17">
        <v>3185.3</v>
      </c>
      <c r="E102" s="17">
        <v>3185.3</v>
      </c>
      <c r="F102" s="17">
        <v>3185.3</v>
      </c>
      <c r="G102" s="17">
        <v>3185.3</v>
      </c>
      <c r="H102" s="18" t="s">
        <v>16</v>
      </c>
      <c r="I102" s="19">
        <f t="shared" ref="I102" si="18">ROUND(G102/E102,4)</f>
        <v>1</v>
      </c>
    </row>
    <row r="103" spans="1:9" s="2" customFormat="1" ht="267.75" x14ac:dyDescent="0.25">
      <c r="A103" s="15"/>
      <c r="B103" s="16" t="s">
        <v>72</v>
      </c>
      <c r="C103" s="16" t="s">
        <v>27</v>
      </c>
      <c r="D103" s="17">
        <v>11098.6</v>
      </c>
      <c r="E103" s="17">
        <v>11098.6</v>
      </c>
      <c r="F103" s="17">
        <v>11098.6</v>
      </c>
      <c r="G103" s="17">
        <v>11098.6</v>
      </c>
      <c r="H103" s="18" t="s">
        <v>16</v>
      </c>
      <c r="I103" s="19">
        <f t="shared" si="17"/>
        <v>1</v>
      </c>
    </row>
    <row r="104" spans="1:9" s="2" customFormat="1" ht="78.75" x14ac:dyDescent="0.25">
      <c r="A104" s="15"/>
      <c r="B104" s="16" t="s">
        <v>73</v>
      </c>
      <c r="C104" s="16" t="s">
        <v>29</v>
      </c>
      <c r="D104" s="17">
        <v>10000</v>
      </c>
      <c r="E104" s="17">
        <v>10000</v>
      </c>
      <c r="F104" s="17">
        <v>10000</v>
      </c>
      <c r="G104" s="17">
        <v>10000</v>
      </c>
      <c r="H104" s="18" t="s">
        <v>16</v>
      </c>
      <c r="I104" s="19">
        <f t="shared" si="17"/>
        <v>1</v>
      </c>
    </row>
    <row r="105" spans="1:9" s="2" customFormat="1" ht="63" x14ac:dyDescent="0.25">
      <c r="A105" s="15"/>
      <c r="B105" s="16" t="s">
        <v>74</v>
      </c>
      <c r="C105" s="16" t="s">
        <v>27</v>
      </c>
      <c r="D105" s="17">
        <v>69473.8</v>
      </c>
      <c r="E105" s="17">
        <v>24722.799999999999</v>
      </c>
      <c r="F105" s="17">
        <v>67951.100000000006</v>
      </c>
      <c r="G105" s="17">
        <v>66762.7</v>
      </c>
      <c r="H105" s="18" t="s">
        <v>16</v>
      </c>
      <c r="I105" s="19">
        <f>ROUND(G105/D105,4)</f>
        <v>0.96099999999999997</v>
      </c>
    </row>
    <row r="106" spans="1:9" s="2" customFormat="1" ht="110.25" x14ac:dyDescent="0.25">
      <c r="A106" s="15"/>
      <c r="B106" s="16" t="s">
        <v>75</v>
      </c>
      <c r="C106" s="16" t="s">
        <v>27</v>
      </c>
      <c r="D106" s="17">
        <v>1851.7</v>
      </c>
      <c r="E106" s="17">
        <v>1851.7</v>
      </c>
      <c r="F106" s="17">
        <v>1715</v>
      </c>
      <c r="G106" s="17">
        <v>1668.9</v>
      </c>
      <c r="H106" s="18" t="s">
        <v>16</v>
      </c>
      <c r="I106" s="19">
        <f t="shared" si="17"/>
        <v>0.90129999999999999</v>
      </c>
    </row>
    <row r="107" spans="1:9" s="2" customFormat="1" x14ac:dyDescent="0.25">
      <c r="A107" s="97"/>
      <c r="B107" s="94" t="s">
        <v>68</v>
      </c>
      <c r="C107" s="13" t="s">
        <v>34</v>
      </c>
      <c r="D107" s="28">
        <f>D109+D110+D108</f>
        <v>96638.500000000015</v>
      </c>
      <c r="E107" s="28">
        <f>E109+E110+E108</f>
        <v>51887.5</v>
      </c>
      <c r="F107" s="28">
        <f>F109+F110+F108</f>
        <v>94979.10000000002</v>
      </c>
      <c r="G107" s="28">
        <f>G109+G110+G108</f>
        <v>93744.6</v>
      </c>
      <c r="H107" s="43" t="s">
        <v>16</v>
      </c>
      <c r="I107" s="44">
        <f>ROUND(G107/D107,4)</f>
        <v>0.97009999999999996</v>
      </c>
    </row>
    <row r="108" spans="1:9" s="2" customFormat="1" ht="31.5" x14ac:dyDescent="0.25">
      <c r="A108" s="98"/>
      <c r="B108" s="95"/>
      <c r="C108" s="46" t="s">
        <v>29</v>
      </c>
      <c r="D108" s="47">
        <f>D104</f>
        <v>10000</v>
      </c>
      <c r="E108" s="47">
        <f t="shared" ref="E108:G108" si="19">E104</f>
        <v>10000</v>
      </c>
      <c r="F108" s="47">
        <f t="shared" si="19"/>
        <v>10000</v>
      </c>
      <c r="G108" s="47">
        <f t="shared" si="19"/>
        <v>10000</v>
      </c>
      <c r="H108" s="36" t="s">
        <v>16</v>
      </c>
      <c r="I108" s="39">
        <f t="shared" ref="I108:I110" si="20">ROUND(G108/D108,4)</f>
        <v>1</v>
      </c>
    </row>
    <row r="109" spans="1:9" s="2" customFormat="1" ht="31.5" x14ac:dyDescent="0.25">
      <c r="A109" s="98"/>
      <c r="B109" s="112"/>
      <c r="C109" s="16" t="s">
        <v>15</v>
      </c>
      <c r="D109" s="17">
        <f>D100</f>
        <v>18</v>
      </c>
      <c r="E109" s="17">
        <f t="shared" ref="E109:G109" si="21">E100</f>
        <v>18</v>
      </c>
      <c r="F109" s="17">
        <f t="shared" si="21"/>
        <v>18</v>
      </c>
      <c r="G109" s="17">
        <f t="shared" si="21"/>
        <v>18</v>
      </c>
      <c r="H109" s="18" t="s">
        <v>16</v>
      </c>
      <c r="I109" s="19">
        <f t="shared" si="20"/>
        <v>1</v>
      </c>
    </row>
    <row r="110" spans="1:9" s="2" customFormat="1" ht="47.25" x14ac:dyDescent="0.25">
      <c r="A110" s="99"/>
      <c r="B110" s="104"/>
      <c r="C110" s="16" t="s">
        <v>27</v>
      </c>
      <c r="D110" s="17">
        <f>D101+D105+D106+D103+D102</f>
        <v>86620.500000000015</v>
      </c>
      <c r="E110" s="17">
        <f t="shared" ref="E110:F110" si="22">E101+E105+E106+E103+E102</f>
        <v>41869.5</v>
      </c>
      <c r="F110" s="17">
        <f t="shared" si="22"/>
        <v>84961.10000000002</v>
      </c>
      <c r="G110" s="17">
        <f>G101+G105+G106+G103+G102</f>
        <v>83726.600000000006</v>
      </c>
      <c r="H110" s="18" t="s">
        <v>16</v>
      </c>
      <c r="I110" s="19">
        <f t="shared" si="20"/>
        <v>0.96660000000000001</v>
      </c>
    </row>
    <row r="111" spans="1:9" s="2" customFormat="1" x14ac:dyDescent="0.25">
      <c r="A111" s="13">
        <v>3</v>
      </c>
      <c r="B111" s="100" t="s">
        <v>76</v>
      </c>
      <c r="C111" s="101"/>
      <c r="D111" s="101"/>
      <c r="E111" s="101"/>
      <c r="F111" s="101"/>
      <c r="G111" s="101"/>
      <c r="H111" s="101"/>
      <c r="I111" s="102"/>
    </row>
    <row r="112" spans="1:9" s="2" customFormat="1" ht="63" x14ac:dyDescent="0.25">
      <c r="A112" s="13"/>
      <c r="B112" s="16" t="s">
        <v>77</v>
      </c>
      <c r="C112" s="16" t="s">
        <v>15</v>
      </c>
      <c r="D112" s="17">
        <v>306</v>
      </c>
      <c r="E112" s="17">
        <v>306</v>
      </c>
      <c r="F112" s="17">
        <v>305.89999999999998</v>
      </c>
      <c r="G112" s="17">
        <v>305.89999999999998</v>
      </c>
      <c r="H112" s="18" t="s">
        <v>16</v>
      </c>
      <c r="I112" s="19">
        <f>ROUND(G112/D112,4)</f>
        <v>0.99970000000000003</v>
      </c>
    </row>
    <row r="113" spans="1:9" s="2" customFormat="1" ht="252" x14ac:dyDescent="0.25">
      <c r="A113" s="48"/>
      <c r="B113" s="16" t="s">
        <v>78</v>
      </c>
      <c r="C113" s="16" t="s">
        <v>27</v>
      </c>
      <c r="D113" s="17">
        <v>38112</v>
      </c>
      <c r="E113" s="17">
        <v>38112</v>
      </c>
      <c r="F113" s="17">
        <v>35646.1</v>
      </c>
      <c r="G113" s="17">
        <v>35646.1</v>
      </c>
      <c r="H113" s="18" t="s">
        <v>16</v>
      </c>
      <c r="I113" s="19">
        <f t="shared" ref="I113:I120" si="23">ROUND(G113/D113,4)</f>
        <v>0.93530000000000002</v>
      </c>
    </row>
    <row r="114" spans="1:9" s="2" customFormat="1" ht="94.5" x14ac:dyDescent="0.25">
      <c r="A114" s="48"/>
      <c r="B114" s="16" t="s">
        <v>79</v>
      </c>
      <c r="C114" s="16" t="s">
        <v>27</v>
      </c>
      <c r="D114" s="17">
        <v>2971.8</v>
      </c>
      <c r="E114" s="17">
        <v>2971.8</v>
      </c>
      <c r="F114" s="17">
        <v>2737.6</v>
      </c>
      <c r="G114" s="17">
        <v>2737.6</v>
      </c>
      <c r="H114" s="18" t="s">
        <v>16</v>
      </c>
      <c r="I114" s="19">
        <f t="shared" si="23"/>
        <v>0.92120000000000002</v>
      </c>
    </row>
    <row r="115" spans="1:9" s="2" customFormat="1" ht="63" x14ac:dyDescent="0.25">
      <c r="A115" s="48"/>
      <c r="B115" s="16" t="s">
        <v>299</v>
      </c>
      <c r="C115" s="16" t="s">
        <v>27</v>
      </c>
      <c r="D115" s="17">
        <v>49</v>
      </c>
      <c r="E115" s="17">
        <v>49</v>
      </c>
      <c r="F115" s="17">
        <v>0</v>
      </c>
      <c r="G115" s="17">
        <v>0</v>
      </c>
      <c r="H115" s="18" t="s">
        <v>16</v>
      </c>
      <c r="I115" s="19">
        <f t="shared" si="23"/>
        <v>0</v>
      </c>
    </row>
    <row r="116" spans="1:9" s="2" customFormat="1" ht="157.5" x14ac:dyDescent="0.25">
      <c r="A116" s="48"/>
      <c r="B116" s="16" t="s">
        <v>80</v>
      </c>
      <c r="C116" s="16" t="s">
        <v>27</v>
      </c>
      <c r="D116" s="17">
        <v>142.4</v>
      </c>
      <c r="E116" s="17">
        <v>142.4</v>
      </c>
      <c r="F116" s="17">
        <v>130.5</v>
      </c>
      <c r="G116" s="17">
        <v>130.5</v>
      </c>
      <c r="H116" s="18" t="s">
        <v>16</v>
      </c>
      <c r="I116" s="19">
        <f t="shared" si="23"/>
        <v>0.91639999999999999</v>
      </c>
    </row>
    <row r="117" spans="1:9" s="2" customFormat="1" ht="94.5" x14ac:dyDescent="0.25">
      <c r="A117" s="48"/>
      <c r="B117" s="16" t="s">
        <v>81</v>
      </c>
      <c r="C117" s="16" t="s">
        <v>27</v>
      </c>
      <c r="D117" s="17">
        <v>14241.3</v>
      </c>
      <c r="E117" s="17">
        <v>14241.3</v>
      </c>
      <c r="F117" s="17">
        <v>14166.8</v>
      </c>
      <c r="G117" s="17">
        <v>14166.8</v>
      </c>
      <c r="H117" s="18" t="s">
        <v>16</v>
      </c>
      <c r="I117" s="19">
        <f t="shared" si="23"/>
        <v>0.99480000000000002</v>
      </c>
    </row>
    <row r="118" spans="1:9" s="2" customFormat="1" ht="78.75" x14ac:dyDescent="0.25">
      <c r="A118" s="48"/>
      <c r="B118" s="16" t="s">
        <v>82</v>
      </c>
      <c r="C118" s="16" t="s">
        <v>15</v>
      </c>
      <c r="D118" s="17">
        <v>5781</v>
      </c>
      <c r="E118" s="17">
        <v>5781</v>
      </c>
      <c r="F118" s="17">
        <v>5772.8</v>
      </c>
      <c r="G118" s="17">
        <v>5772.8</v>
      </c>
      <c r="H118" s="18" t="s">
        <v>16</v>
      </c>
      <c r="I118" s="19">
        <f t="shared" si="23"/>
        <v>0.99860000000000004</v>
      </c>
    </row>
    <row r="119" spans="1:9" s="2" customFormat="1" ht="63" x14ac:dyDescent="0.25">
      <c r="A119" s="48"/>
      <c r="B119" s="16" t="s">
        <v>83</v>
      </c>
      <c r="C119" s="16" t="s">
        <v>15</v>
      </c>
      <c r="D119" s="17">
        <v>48</v>
      </c>
      <c r="E119" s="17">
        <v>48</v>
      </c>
      <c r="F119" s="17">
        <v>48</v>
      </c>
      <c r="G119" s="17">
        <v>48</v>
      </c>
      <c r="H119" s="18" t="s">
        <v>16</v>
      </c>
      <c r="I119" s="19">
        <f t="shared" si="23"/>
        <v>1</v>
      </c>
    </row>
    <row r="120" spans="1:9" s="2" customFormat="1" ht="110.25" x14ac:dyDescent="0.25">
      <c r="A120" s="48"/>
      <c r="B120" s="16" t="s">
        <v>84</v>
      </c>
      <c r="C120" s="16" t="s">
        <v>27</v>
      </c>
      <c r="D120" s="17">
        <v>5734</v>
      </c>
      <c r="E120" s="17">
        <v>5734</v>
      </c>
      <c r="F120" s="17">
        <v>4907.5</v>
      </c>
      <c r="G120" s="17">
        <v>4862.3999999999996</v>
      </c>
      <c r="H120" s="18" t="s">
        <v>16</v>
      </c>
      <c r="I120" s="19">
        <f t="shared" si="23"/>
        <v>0.84799999999999998</v>
      </c>
    </row>
    <row r="121" spans="1:9" s="2" customFormat="1" x14ac:dyDescent="0.25">
      <c r="A121" s="97"/>
      <c r="B121" s="94" t="s">
        <v>68</v>
      </c>
      <c r="C121" s="13" t="s">
        <v>34</v>
      </c>
      <c r="D121" s="28">
        <f>D122+D123</f>
        <v>67385.5</v>
      </c>
      <c r="E121" s="28">
        <f>E122+E123</f>
        <v>67385.5</v>
      </c>
      <c r="F121" s="28">
        <f>F122+F123</f>
        <v>63715.1</v>
      </c>
      <c r="G121" s="28">
        <f>G122+G123</f>
        <v>63670</v>
      </c>
      <c r="H121" s="43" t="s">
        <v>16</v>
      </c>
      <c r="I121" s="44">
        <f t="shared" ref="I121:I123" si="24">ROUND(G121/E121,4)</f>
        <v>0.94489999999999996</v>
      </c>
    </row>
    <row r="122" spans="1:9" s="2" customFormat="1" ht="31.5" x14ac:dyDescent="0.25">
      <c r="A122" s="98"/>
      <c r="B122" s="112"/>
      <c r="C122" s="46" t="s">
        <v>15</v>
      </c>
      <c r="D122" s="47">
        <f>D112+D118+D119</f>
        <v>6135</v>
      </c>
      <c r="E122" s="47">
        <f t="shared" ref="E122:G122" si="25">E112+E118+E119</f>
        <v>6135</v>
      </c>
      <c r="F122" s="47">
        <f>F112+F118+F119</f>
        <v>6126.7</v>
      </c>
      <c r="G122" s="47">
        <f t="shared" si="25"/>
        <v>6126.7</v>
      </c>
      <c r="H122" s="36" t="s">
        <v>16</v>
      </c>
      <c r="I122" s="39">
        <f t="shared" si="24"/>
        <v>0.99860000000000004</v>
      </c>
    </row>
    <row r="123" spans="1:9" s="2" customFormat="1" ht="47.25" x14ac:dyDescent="0.25">
      <c r="A123" s="99"/>
      <c r="B123" s="104"/>
      <c r="C123" s="16" t="s">
        <v>27</v>
      </c>
      <c r="D123" s="17">
        <f>D113+D114+D116+D117+D120+D115</f>
        <v>61250.5</v>
      </c>
      <c r="E123" s="17">
        <f t="shared" ref="E123" si="26">E113+E114+E116+E117+E120+E115</f>
        <v>61250.5</v>
      </c>
      <c r="F123" s="17">
        <f>F113+F114+F116+F117+F120+F115-0.1</f>
        <v>57588.4</v>
      </c>
      <c r="G123" s="17">
        <f>G113+G114+G116+G117+G120+G115-0.1</f>
        <v>57543.3</v>
      </c>
      <c r="H123" s="18" t="s">
        <v>16</v>
      </c>
      <c r="I123" s="19">
        <f t="shared" si="24"/>
        <v>0.9395</v>
      </c>
    </row>
    <row r="124" spans="1:9" s="2" customFormat="1" x14ac:dyDescent="0.25">
      <c r="A124" s="13">
        <v>4</v>
      </c>
      <c r="B124" s="100" t="s">
        <v>85</v>
      </c>
      <c r="C124" s="101"/>
      <c r="D124" s="101"/>
      <c r="E124" s="101"/>
      <c r="F124" s="101"/>
      <c r="G124" s="101"/>
      <c r="H124" s="101"/>
      <c r="I124" s="102"/>
    </row>
    <row r="125" spans="1:9" s="2" customFormat="1" ht="31.5" x14ac:dyDescent="0.25">
      <c r="A125" s="48"/>
      <c r="B125" s="16" t="s">
        <v>86</v>
      </c>
      <c r="C125" s="16" t="s">
        <v>15</v>
      </c>
      <c r="D125" s="17">
        <v>384.5</v>
      </c>
      <c r="E125" s="17">
        <v>384.5</v>
      </c>
      <c r="F125" s="17">
        <v>303.5</v>
      </c>
      <c r="G125" s="17">
        <v>303.5</v>
      </c>
      <c r="H125" s="18" t="s">
        <v>16</v>
      </c>
      <c r="I125" s="19">
        <f t="shared" ref="I125:I135" si="27">ROUND(G125/E125,4)</f>
        <v>0.7893</v>
      </c>
    </row>
    <row r="126" spans="1:9" s="2" customFormat="1" ht="47.25" x14ac:dyDescent="0.25">
      <c r="A126" s="48"/>
      <c r="B126" s="16" t="s">
        <v>87</v>
      </c>
      <c r="C126" s="16" t="s">
        <v>15</v>
      </c>
      <c r="D126" s="17">
        <v>90</v>
      </c>
      <c r="E126" s="17">
        <v>90</v>
      </c>
      <c r="F126" s="17">
        <v>88.6</v>
      </c>
      <c r="G126" s="17">
        <v>88.6</v>
      </c>
      <c r="H126" s="18" t="s">
        <v>16</v>
      </c>
      <c r="I126" s="19">
        <f t="shared" si="27"/>
        <v>0.98440000000000005</v>
      </c>
    </row>
    <row r="127" spans="1:9" s="2" customFormat="1" ht="47.25" x14ac:dyDescent="0.25">
      <c r="A127" s="49"/>
      <c r="B127" s="21" t="s">
        <v>88</v>
      </c>
      <c r="C127" s="16" t="s">
        <v>27</v>
      </c>
      <c r="D127" s="17">
        <v>1000</v>
      </c>
      <c r="E127" s="17">
        <v>1000</v>
      </c>
      <c r="F127" s="17">
        <v>1000</v>
      </c>
      <c r="G127" s="17">
        <v>1000</v>
      </c>
      <c r="H127" s="18" t="s">
        <v>16</v>
      </c>
      <c r="I127" s="19">
        <f t="shared" si="27"/>
        <v>1</v>
      </c>
    </row>
    <row r="128" spans="1:9" s="2" customFormat="1" ht="31.5" x14ac:dyDescent="0.25">
      <c r="A128" s="49"/>
      <c r="B128" s="21" t="s">
        <v>89</v>
      </c>
      <c r="C128" s="16" t="s">
        <v>15</v>
      </c>
      <c r="D128" s="17">
        <v>322.8</v>
      </c>
      <c r="E128" s="17">
        <v>322.8</v>
      </c>
      <c r="F128" s="17">
        <v>322.8</v>
      </c>
      <c r="G128" s="17">
        <v>322.8</v>
      </c>
      <c r="H128" s="18" t="s">
        <v>16</v>
      </c>
      <c r="I128" s="19">
        <f t="shared" si="27"/>
        <v>1</v>
      </c>
    </row>
    <row r="129" spans="1:9" s="2" customFormat="1" ht="31.5" x14ac:dyDescent="0.25">
      <c r="A129" s="49"/>
      <c r="B129" s="16" t="s">
        <v>86</v>
      </c>
      <c r="C129" s="16" t="s">
        <v>15</v>
      </c>
      <c r="D129" s="17">
        <f>195+1674.3</f>
        <v>1869.3</v>
      </c>
      <c r="E129" s="17">
        <f>195+1674.3</f>
        <v>1869.3</v>
      </c>
      <c r="F129" s="17">
        <f>195+1074.8</f>
        <v>1269.8</v>
      </c>
      <c r="G129" s="17">
        <f>195+1071.9</f>
        <v>1266.9000000000001</v>
      </c>
      <c r="H129" s="18" t="s">
        <v>16</v>
      </c>
      <c r="I129" s="19">
        <f t="shared" si="27"/>
        <v>0.67769999999999997</v>
      </c>
    </row>
    <row r="130" spans="1:9" s="2" customFormat="1" ht="47.25" x14ac:dyDescent="0.25">
      <c r="A130" s="49"/>
      <c r="B130" s="21" t="s">
        <v>90</v>
      </c>
      <c r="C130" s="16" t="s">
        <v>27</v>
      </c>
      <c r="D130" s="17">
        <v>18000</v>
      </c>
      <c r="E130" s="17">
        <v>18000</v>
      </c>
      <c r="F130" s="17">
        <v>15472.9</v>
      </c>
      <c r="G130" s="17">
        <v>15472.9</v>
      </c>
      <c r="H130" s="18" t="s">
        <v>16</v>
      </c>
      <c r="I130" s="19">
        <f t="shared" si="27"/>
        <v>0.85960000000000003</v>
      </c>
    </row>
    <row r="131" spans="1:9" s="2" customFormat="1" ht="47.25" x14ac:dyDescent="0.25">
      <c r="A131" s="49"/>
      <c r="B131" s="21" t="s">
        <v>91</v>
      </c>
      <c r="C131" s="16" t="s">
        <v>15</v>
      </c>
      <c r="D131" s="17">
        <v>5809.5</v>
      </c>
      <c r="E131" s="17">
        <v>5809.5</v>
      </c>
      <c r="F131" s="17">
        <v>4993.8999999999996</v>
      </c>
      <c r="G131" s="17">
        <v>4993.8999999999996</v>
      </c>
      <c r="H131" s="18" t="s">
        <v>16</v>
      </c>
      <c r="I131" s="19">
        <f t="shared" si="27"/>
        <v>0.85960000000000003</v>
      </c>
    </row>
    <row r="132" spans="1:9" s="2" customFormat="1" ht="31.5" x14ac:dyDescent="0.25">
      <c r="A132" s="49"/>
      <c r="B132" s="21" t="s">
        <v>92</v>
      </c>
      <c r="C132" s="16" t="s">
        <v>15</v>
      </c>
      <c r="D132" s="17">
        <v>2000</v>
      </c>
      <c r="E132" s="17">
        <v>2000</v>
      </c>
      <c r="F132" s="17">
        <v>1999.7</v>
      </c>
      <c r="G132" s="17">
        <v>1999.7</v>
      </c>
      <c r="H132" s="18" t="s">
        <v>16</v>
      </c>
      <c r="I132" s="19">
        <f t="shared" si="27"/>
        <v>0.99990000000000001</v>
      </c>
    </row>
    <row r="133" spans="1:9" s="2" customFormat="1" x14ac:dyDescent="0.25">
      <c r="A133" s="97"/>
      <c r="B133" s="94" t="s">
        <v>68</v>
      </c>
      <c r="C133" s="13" t="s">
        <v>34</v>
      </c>
      <c r="D133" s="28">
        <f>D135+D134</f>
        <v>29476.1</v>
      </c>
      <c r="E133" s="28">
        <f>E135+E134</f>
        <v>29476.1</v>
      </c>
      <c r="F133" s="28">
        <f>F135+F134</f>
        <v>25451</v>
      </c>
      <c r="G133" s="28">
        <f>G135+G134</f>
        <v>25448.1</v>
      </c>
      <c r="H133" s="43" t="s">
        <v>16</v>
      </c>
      <c r="I133" s="44">
        <f t="shared" si="27"/>
        <v>0.86329999999999996</v>
      </c>
    </row>
    <row r="134" spans="1:9" s="2" customFormat="1" ht="47.25" x14ac:dyDescent="0.25">
      <c r="A134" s="98"/>
      <c r="B134" s="95"/>
      <c r="C134" s="46" t="s">
        <v>27</v>
      </c>
      <c r="D134" s="47">
        <f>D130+D127</f>
        <v>19000</v>
      </c>
      <c r="E134" s="47">
        <f>E130+E127</f>
        <v>19000</v>
      </c>
      <c r="F134" s="47">
        <f>F130+F127-0.2</f>
        <v>16472.7</v>
      </c>
      <c r="G134" s="47">
        <f>G130+G127-0.2</f>
        <v>16472.7</v>
      </c>
      <c r="H134" s="36" t="s">
        <v>16</v>
      </c>
      <c r="I134" s="39">
        <f t="shared" si="27"/>
        <v>0.86699999999999999</v>
      </c>
    </row>
    <row r="135" spans="1:9" s="2" customFormat="1" ht="31.5" x14ac:dyDescent="0.25">
      <c r="A135" s="117"/>
      <c r="B135" s="117"/>
      <c r="C135" s="16" t="s">
        <v>15</v>
      </c>
      <c r="D135" s="17">
        <f>D125+D126+D131+D132+D128+D129</f>
        <v>10476.099999999999</v>
      </c>
      <c r="E135" s="17">
        <f t="shared" ref="E135:G135" si="28">E125+E126+E131+E132+E128+E129</f>
        <v>10476.099999999999</v>
      </c>
      <c r="F135" s="17">
        <f t="shared" si="28"/>
        <v>8978.2999999999993</v>
      </c>
      <c r="G135" s="17">
        <f t="shared" si="28"/>
        <v>8975.4</v>
      </c>
      <c r="H135" s="18" t="s">
        <v>16</v>
      </c>
      <c r="I135" s="19">
        <f t="shared" si="27"/>
        <v>0.85680000000000001</v>
      </c>
    </row>
    <row r="136" spans="1:9" s="2" customFormat="1" x14ac:dyDescent="0.25">
      <c r="A136" s="13">
        <v>5</v>
      </c>
      <c r="B136" s="100" t="s">
        <v>93</v>
      </c>
      <c r="C136" s="101"/>
      <c r="D136" s="101"/>
      <c r="E136" s="101"/>
      <c r="F136" s="101"/>
      <c r="G136" s="101"/>
      <c r="H136" s="101"/>
      <c r="I136" s="102"/>
    </row>
    <row r="137" spans="1:9" s="2" customFormat="1" x14ac:dyDescent="0.25">
      <c r="A137" s="100" t="s">
        <v>94</v>
      </c>
      <c r="B137" s="101"/>
      <c r="C137" s="101"/>
      <c r="D137" s="101"/>
      <c r="E137" s="101"/>
      <c r="F137" s="101"/>
      <c r="G137" s="101"/>
      <c r="H137" s="101"/>
      <c r="I137" s="102"/>
    </row>
    <row r="138" spans="1:9" s="2" customFormat="1" ht="78.75" x14ac:dyDescent="0.25">
      <c r="A138" s="48"/>
      <c r="B138" s="16" t="s">
        <v>40</v>
      </c>
      <c r="C138" s="16" t="s">
        <v>15</v>
      </c>
      <c r="D138" s="17">
        <v>123555.8</v>
      </c>
      <c r="E138" s="17">
        <v>123555.8</v>
      </c>
      <c r="F138" s="17">
        <v>122698.2</v>
      </c>
      <c r="G138" s="17">
        <v>122698.2</v>
      </c>
      <c r="H138" s="18" t="s">
        <v>16</v>
      </c>
      <c r="I138" s="19">
        <f t="shared" ref="I138:I144" si="29">ROUND(G138/E138,4)</f>
        <v>0.99309999999999998</v>
      </c>
    </row>
    <row r="139" spans="1:9" s="2" customFormat="1" ht="78.75" x14ac:dyDescent="0.25">
      <c r="A139" s="48"/>
      <c r="B139" s="16" t="s">
        <v>41</v>
      </c>
      <c r="C139" s="16" t="s">
        <v>15</v>
      </c>
      <c r="D139" s="17">
        <v>964</v>
      </c>
      <c r="E139" s="17">
        <v>964</v>
      </c>
      <c r="F139" s="17">
        <v>861.3</v>
      </c>
      <c r="G139" s="17">
        <v>861.3</v>
      </c>
      <c r="H139" s="18" t="s">
        <v>16</v>
      </c>
      <c r="I139" s="19">
        <f t="shared" si="29"/>
        <v>0.89349999999999996</v>
      </c>
    </row>
    <row r="140" spans="1:9" s="2" customFormat="1" ht="78.75" x14ac:dyDescent="0.25">
      <c r="A140" s="48"/>
      <c r="B140" s="16" t="s">
        <v>42</v>
      </c>
      <c r="C140" s="16" t="s">
        <v>27</v>
      </c>
      <c r="D140" s="17">
        <v>7709.4</v>
      </c>
      <c r="E140" s="17">
        <v>7709.4</v>
      </c>
      <c r="F140" s="17">
        <v>7709.4</v>
      </c>
      <c r="G140" s="17">
        <v>7709.4</v>
      </c>
      <c r="H140" s="18" t="s">
        <v>16</v>
      </c>
      <c r="I140" s="19">
        <f t="shared" si="29"/>
        <v>1</v>
      </c>
    </row>
    <row r="141" spans="1:9" s="2" customFormat="1" ht="78.75" x14ac:dyDescent="0.25">
      <c r="A141" s="48"/>
      <c r="B141" s="16" t="s">
        <v>95</v>
      </c>
      <c r="C141" s="16" t="s">
        <v>15</v>
      </c>
      <c r="D141" s="17">
        <v>2488.1999999999998</v>
      </c>
      <c r="E141" s="17">
        <v>2488.1999999999998</v>
      </c>
      <c r="F141" s="17">
        <v>2488.1999999999998</v>
      </c>
      <c r="G141" s="17">
        <v>2488.1999999999998</v>
      </c>
      <c r="H141" s="18" t="s">
        <v>16</v>
      </c>
      <c r="I141" s="19">
        <f t="shared" si="29"/>
        <v>1</v>
      </c>
    </row>
    <row r="142" spans="1:9" s="2" customFormat="1" x14ac:dyDescent="0.25">
      <c r="A142" s="118"/>
      <c r="B142" s="94" t="s">
        <v>33</v>
      </c>
      <c r="C142" s="13" t="s">
        <v>34</v>
      </c>
      <c r="D142" s="28">
        <f>D143+D144</f>
        <v>134717.4</v>
      </c>
      <c r="E142" s="28">
        <f>E143+E144</f>
        <v>134717.4</v>
      </c>
      <c r="F142" s="28">
        <f>F143+F144</f>
        <v>133757.1</v>
      </c>
      <c r="G142" s="28">
        <f>G143+G144</f>
        <v>133757.1</v>
      </c>
      <c r="H142" s="18" t="s">
        <v>16</v>
      </c>
      <c r="I142" s="19">
        <f t="shared" si="29"/>
        <v>0.9929</v>
      </c>
    </row>
    <row r="143" spans="1:9" s="2" customFormat="1" ht="31.5" x14ac:dyDescent="0.25">
      <c r="A143" s="98"/>
      <c r="B143" s="112"/>
      <c r="C143" s="16" t="s">
        <v>15</v>
      </c>
      <c r="D143" s="17">
        <f>D138+D139+D141</f>
        <v>127008</v>
      </c>
      <c r="E143" s="17">
        <f t="shared" ref="E143:G143" si="30">E138+E139+E141</f>
        <v>127008</v>
      </c>
      <c r="F143" s="17">
        <f t="shared" si="30"/>
        <v>126047.7</v>
      </c>
      <c r="G143" s="17">
        <f t="shared" si="30"/>
        <v>126047.7</v>
      </c>
      <c r="H143" s="18" t="s">
        <v>16</v>
      </c>
      <c r="I143" s="19">
        <f t="shared" si="29"/>
        <v>0.99239999999999995</v>
      </c>
    </row>
    <row r="144" spans="1:9" s="2" customFormat="1" ht="47.25" x14ac:dyDescent="0.25">
      <c r="A144" s="99"/>
      <c r="B144" s="104"/>
      <c r="C144" s="16" t="s">
        <v>27</v>
      </c>
      <c r="D144" s="17">
        <f>D140</f>
        <v>7709.4</v>
      </c>
      <c r="E144" s="17">
        <f>E140</f>
        <v>7709.4</v>
      </c>
      <c r="F144" s="17">
        <f>F140</f>
        <v>7709.4</v>
      </c>
      <c r="G144" s="17">
        <f>G140</f>
        <v>7709.4</v>
      </c>
      <c r="H144" s="18" t="s">
        <v>16</v>
      </c>
      <c r="I144" s="19">
        <f t="shared" si="29"/>
        <v>1</v>
      </c>
    </row>
    <row r="145" spans="1:9" s="2" customFormat="1" x14ac:dyDescent="0.25">
      <c r="A145" s="100" t="s">
        <v>96</v>
      </c>
      <c r="B145" s="101"/>
      <c r="C145" s="101"/>
      <c r="D145" s="101"/>
      <c r="E145" s="101"/>
      <c r="F145" s="101"/>
      <c r="G145" s="101"/>
      <c r="H145" s="101"/>
      <c r="I145" s="102"/>
    </row>
    <row r="146" spans="1:9" s="2" customFormat="1" ht="78.75" x14ac:dyDescent="0.25">
      <c r="A146" s="45"/>
      <c r="B146" s="16" t="s">
        <v>40</v>
      </c>
      <c r="C146" s="16" t="s">
        <v>15</v>
      </c>
      <c r="D146" s="17">
        <v>73995.3</v>
      </c>
      <c r="E146" s="17">
        <v>73995.3</v>
      </c>
      <c r="F146" s="17">
        <v>72697.100000000006</v>
      </c>
      <c r="G146" s="17">
        <v>72697.100000000006</v>
      </c>
      <c r="H146" s="18" t="s">
        <v>16</v>
      </c>
      <c r="I146" s="19">
        <f t="shared" ref="I146:I160" si="31">ROUND(G146/E146,4)</f>
        <v>0.98250000000000004</v>
      </c>
    </row>
    <row r="147" spans="1:9" s="2" customFormat="1" ht="78.75" x14ac:dyDescent="0.25">
      <c r="A147" s="45"/>
      <c r="B147" s="16" t="s">
        <v>41</v>
      </c>
      <c r="C147" s="16" t="s">
        <v>15</v>
      </c>
      <c r="D147" s="17">
        <v>653</v>
      </c>
      <c r="E147" s="17">
        <v>653</v>
      </c>
      <c r="F147" s="17">
        <v>609.70000000000005</v>
      </c>
      <c r="G147" s="17">
        <v>609.70000000000005</v>
      </c>
      <c r="H147" s="18" t="s">
        <v>16</v>
      </c>
      <c r="I147" s="19">
        <f t="shared" si="31"/>
        <v>0.93369999999999997</v>
      </c>
    </row>
    <row r="148" spans="1:9" s="2" customFormat="1" ht="47.25" x14ac:dyDescent="0.25">
      <c r="A148" s="45"/>
      <c r="B148" s="16" t="s">
        <v>287</v>
      </c>
      <c r="C148" s="16" t="s">
        <v>15</v>
      </c>
      <c r="D148" s="17">
        <v>1300</v>
      </c>
      <c r="E148" s="17">
        <v>1300</v>
      </c>
      <c r="F148" s="17">
        <v>720</v>
      </c>
      <c r="G148" s="17">
        <v>720</v>
      </c>
      <c r="H148" s="18" t="s">
        <v>16</v>
      </c>
      <c r="I148" s="19">
        <f t="shared" si="31"/>
        <v>0.55379999999999996</v>
      </c>
    </row>
    <row r="149" spans="1:9" s="2" customFormat="1" ht="31.5" x14ac:dyDescent="0.25">
      <c r="A149" s="45"/>
      <c r="B149" s="16" t="s">
        <v>97</v>
      </c>
      <c r="C149" s="16" t="s">
        <v>15</v>
      </c>
      <c r="D149" s="17">
        <v>1000</v>
      </c>
      <c r="E149" s="17">
        <v>1000</v>
      </c>
      <c r="F149" s="17">
        <v>1000</v>
      </c>
      <c r="G149" s="17">
        <v>1000</v>
      </c>
      <c r="H149" s="18" t="s">
        <v>16</v>
      </c>
      <c r="I149" s="19">
        <f t="shared" si="31"/>
        <v>1</v>
      </c>
    </row>
    <row r="150" spans="1:9" s="2" customFormat="1" ht="31.5" x14ac:dyDescent="0.25">
      <c r="A150" s="45"/>
      <c r="B150" s="16" t="s">
        <v>98</v>
      </c>
      <c r="C150" s="16" t="s">
        <v>15</v>
      </c>
      <c r="D150" s="17">
        <v>98.2</v>
      </c>
      <c r="E150" s="17">
        <v>98.2</v>
      </c>
      <c r="F150" s="17">
        <v>0</v>
      </c>
      <c r="G150" s="17">
        <v>0</v>
      </c>
      <c r="H150" s="18" t="s">
        <v>16</v>
      </c>
      <c r="I150" s="19">
        <f t="shared" si="31"/>
        <v>0</v>
      </c>
    </row>
    <row r="151" spans="1:9" s="2" customFormat="1" ht="47.25" x14ac:dyDescent="0.25">
      <c r="A151" s="50"/>
      <c r="B151" s="21" t="s">
        <v>99</v>
      </c>
      <c r="C151" s="16" t="s">
        <v>15</v>
      </c>
      <c r="D151" s="17">
        <v>3750</v>
      </c>
      <c r="E151" s="17">
        <v>3750</v>
      </c>
      <c r="F151" s="17">
        <v>3750</v>
      </c>
      <c r="G151" s="17">
        <v>3750</v>
      </c>
      <c r="H151" s="18" t="s">
        <v>16</v>
      </c>
      <c r="I151" s="19">
        <f t="shared" si="31"/>
        <v>1</v>
      </c>
    </row>
    <row r="152" spans="1:9" s="2" customFormat="1" ht="94.5" x14ac:dyDescent="0.25">
      <c r="A152" s="50"/>
      <c r="B152" s="21" t="s">
        <v>100</v>
      </c>
      <c r="C152" s="21" t="s">
        <v>27</v>
      </c>
      <c r="D152" s="25">
        <v>253.3</v>
      </c>
      <c r="E152" s="25">
        <v>253.3</v>
      </c>
      <c r="F152" s="25">
        <v>253.3</v>
      </c>
      <c r="G152" s="25">
        <v>253.3</v>
      </c>
      <c r="H152" s="18" t="s">
        <v>16</v>
      </c>
      <c r="I152" s="19">
        <f t="shared" si="31"/>
        <v>1</v>
      </c>
    </row>
    <row r="153" spans="1:9" s="2" customFormat="1" ht="94.5" x14ac:dyDescent="0.25">
      <c r="A153" s="50"/>
      <c r="B153" s="21" t="s">
        <v>101</v>
      </c>
      <c r="C153" s="16" t="s">
        <v>15</v>
      </c>
      <c r="D153" s="25">
        <v>81.7</v>
      </c>
      <c r="E153" s="25">
        <v>81.7</v>
      </c>
      <c r="F153" s="25">
        <v>81.7</v>
      </c>
      <c r="G153" s="25">
        <v>81.7</v>
      </c>
      <c r="H153" s="18" t="s">
        <v>16</v>
      </c>
      <c r="I153" s="19">
        <f t="shared" si="31"/>
        <v>1</v>
      </c>
    </row>
    <row r="154" spans="1:9" s="2" customFormat="1" ht="78.75" x14ac:dyDescent="0.25">
      <c r="A154" s="50"/>
      <c r="B154" s="21" t="s">
        <v>40</v>
      </c>
      <c r="C154" s="16" t="s">
        <v>15</v>
      </c>
      <c r="D154" s="25">
        <v>67253.399999999994</v>
      </c>
      <c r="E154" s="25">
        <v>67253.399999999994</v>
      </c>
      <c r="F154" s="25">
        <v>65758</v>
      </c>
      <c r="G154" s="25">
        <v>65758</v>
      </c>
      <c r="H154" s="18" t="s">
        <v>16</v>
      </c>
      <c r="I154" s="19">
        <f t="shared" si="31"/>
        <v>0.9778</v>
      </c>
    </row>
    <row r="155" spans="1:9" s="2" customFormat="1" ht="78.75" x14ac:dyDescent="0.25">
      <c r="A155" s="50"/>
      <c r="B155" s="21" t="s">
        <v>41</v>
      </c>
      <c r="C155" s="16" t="s">
        <v>15</v>
      </c>
      <c r="D155" s="25">
        <v>447</v>
      </c>
      <c r="E155" s="25">
        <v>447</v>
      </c>
      <c r="F155" s="51">
        <v>443.5</v>
      </c>
      <c r="G155" s="51">
        <v>443.5</v>
      </c>
      <c r="H155" s="18" t="s">
        <v>16</v>
      </c>
      <c r="I155" s="19">
        <f t="shared" si="31"/>
        <v>0.99219999999999997</v>
      </c>
    </row>
    <row r="156" spans="1:9" s="2" customFormat="1" ht="94.5" x14ac:dyDescent="0.25">
      <c r="A156" s="50"/>
      <c r="B156" s="21" t="s">
        <v>45</v>
      </c>
      <c r="C156" s="16" t="s">
        <v>15</v>
      </c>
      <c r="D156" s="25">
        <v>60</v>
      </c>
      <c r="E156" s="25">
        <v>60</v>
      </c>
      <c r="F156" s="25">
        <v>60</v>
      </c>
      <c r="G156" s="25">
        <v>60</v>
      </c>
      <c r="H156" s="18" t="s">
        <v>16</v>
      </c>
      <c r="I156" s="19">
        <f t="shared" ref="I156:I157" si="32">ROUND(G156/E156,4)</f>
        <v>1</v>
      </c>
    </row>
    <row r="157" spans="1:9" s="2" customFormat="1" ht="47.25" x14ac:dyDescent="0.25">
      <c r="A157" s="50"/>
      <c r="B157" s="21" t="s">
        <v>99</v>
      </c>
      <c r="C157" s="16" t="s">
        <v>15</v>
      </c>
      <c r="D157" s="25">
        <v>157</v>
      </c>
      <c r="E157" s="25">
        <v>157</v>
      </c>
      <c r="F157" s="25">
        <v>157</v>
      </c>
      <c r="G157" s="25">
        <v>157</v>
      </c>
      <c r="H157" s="18" t="s">
        <v>16</v>
      </c>
      <c r="I157" s="19">
        <f t="shared" si="32"/>
        <v>1</v>
      </c>
    </row>
    <row r="158" spans="1:9" s="2" customFormat="1" x14ac:dyDescent="0.25">
      <c r="A158" s="118"/>
      <c r="B158" s="94" t="s">
        <v>33</v>
      </c>
      <c r="C158" s="13" t="s">
        <v>34</v>
      </c>
      <c r="D158" s="28">
        <f>D159+D160</f>
        <v>149048.89999999997</v>
      </c>
      <c r="E158" s="28">
        <f t="shared" ref="E158:G158" si="33">E159+E160</f>
        <v>149048.89999999997</v>
      </c>
      <c r="F158" s="28">
        <f t="shared" si="33"/>
        <v>145530.4</v>
      </c>
      <c r="G158" s="28">
        <f t="shared" si="33"/>
        <v>145530.4</v>
      </c>
      <c r="H158" s="43" t="s">
        <v>16</v>
      </c>
      <c r="I158" s="44">
        <f t="shared" si="31"/>
        <v>0.97640000000000005</v>
      </c>
    </row>
    <row r="159" spans="1:9" s="2" customFormat="1" ht="31.5" x14ac:dyDescent="0.25">
      <c r="A159" s="98"/>
      <c r="B159" s="112"/>
      <c r="C159" s="16" t="s">
        <v>15</v>
      </c>
      <c r="D159" s="17">
        <f>D146+D147+D149+D150+D151+D153+D154+D155+D148+D156+D157</f>
        <v>148795.59999999998</v>
      </c>
      <c r="E159" s="17">
        <f t="shared" ref="E159" si="34">E146+E147+E149+E150+E151+E153+E154+E155+E148+E156+E157</f>
        <v>148795.59999999998</v>
      </c>
      <c r="F159" s="17">
        <f>F146+F147+F149+F150+F151+F153+F154+F155+F148+F156+F157+0.1</f>
        <v>145277.1</v>
      </c>
      <c r="G159" s="17">
        <f>G146+G147+G149+G150+G151+G153+G154+G155+G148+G156+G157+0.1</f>
        <v>145277.1</v>
      </c>
      <c r="H159" s="18" t="s">
        <v>16</v>
      </c>
      <c r="I159" s="19">
        <f t="shared" si="31"/>
        <v>0.97640000000000005</v>
      </c>
    </row>
    <row r="160" spans="1:9" s="2" customFormat="1" ht="47.25" x14ac:dyDescent="0.25">
      <c r="A160" s="117"/>
      <c r="B160" s="117"/>
      <c r="C160" s="16" t="s">
        <v>27</v>
      </c>
      <c r="D160" s="17">
        <f>D152</f>
        <v>253.3</v>
      </c>
      <c r="E160" s="17">
        <f t="shared" ref="E160:G160" si="35">E152</f>
        <v>253.3</v>
      </c>
      <c r="F160" s="17">
        <f t="shared" si="35"/>
        <v>253.3</v>
      </c>
      <c r="G160" s="17">
        <f t="shared" si="35"/>
        <v>253.3</v>
      </c>
      <c r="H160" s="18" t="s">
        <v>16</v>
      </c>
      <c r="I160" s="19">
        <f t="shared" si="31"/>
        <v>1</v>
      </c>
    </row>
    <row r="161" spans="1:9" s="2" customFormat="1" x14ac:dyDescent="0.25">
      <c r="A161" s="100" t="s">
        <v>102</v>
      </c>
      <c r="B161" s="101"/>
      <c r="C161" s="101"/>
      <c r="D161" s="101"/>
      <c r="E161" s="101"/>
      <c r="F161" s="101"/>
      <c r="G161" s="101"/>
      <c r="H161" s="101"/>
      <c r="I161" s="102"/>
    </row>
    <row r="162" spans="1:9" s="2" customFormat="1" ht="47.25" x14ac:dyDescent="0.25">
      <c r="A162" s="13"/>
      <c r="B162" s="16" t="s">
        <v>103</v>
      </c>
      <c r="C162" s="16" t="s">
        <v>15</v>
      </c>
      <c r="D162" s="25">
        <v>1017</v>
      </c>
      <c r="E162" s="25">
        <v>1017</v>
      </c>
      <c r="F162" s="25">
        <v>982.2</v>
      </c>
      <c r="G162" s="25">
        <v>982.2</v>
      </c>
      <c r="H162" s="18" t="s">
        <v>16</v>
      </c>
      <c r="I162" s="19">
        <f t="shared" ref="I162:I168" si="36">ROUND(G162/E162,4)</f>
        <v>0.96579999999999999</v>
      </c>
    </row>
    <row r="163" spans="1:9" s="2" customFormat="1" ht="31.5" x14ac:dyDescent="0.25">
      <c r="A163" s="52"/>
      <c r="B163" s="21" t="s">
        <v>104</v>
      </c>
      <c r="C163" s="16" t="s">
        <v>15</v>
      </c>
      <c r="D163" s="25">
        <v>6590</v>
      </c>
      <c r="E163" s="25">
        <v>6590</v>
      </c>
      <c r="F163" s="25">
        <v>6505.5</v>
      </c>
      <c r="G163" s="25">
        <v>6505.5</v>
      </c>
      <c r="H163" s="18" t="s">
        <v>16</v>
      </c>
      <c r="I163" s="19">
        <f t="shared" si="36"/>
        <v>0.98719999999999997</v>
      </c>
    </row>
    <row r="164" spans="1:9" s="2" customFormat="1" x14ac:dyDescent="0.25">
      <c r="A164" s="118"/>
      <c r="B164" s="94" t="s">
        <v>33</v>
      </c>
      <c r="C164" s="13" t="s">
        <v>34</v>
      </c>
      <c r="D164" s="28">
        <f>D165</f>
        <v>7607</v>
      </c>
      <c r="E164" s="28">
        <f t="shared" ref="E164:G164" si="37">E165</f>
        <v>7607</v>
      </c>
      <c r="F164" s="28">
        <f>F165</f>
        <v>7487.7</v>
      </c>
      <c r="G164" s="28">
        <f t="shared" si="37"/>
        <v>7487.7</v>
      </c>
      <c r="H164" s="18" t="s">
        <v>16</v>
      </c>
      <c r="I164" s="19">
        <f t="shared" si="36"/>
        <v>0.98429999999999995</v>
      </c>
    </row>
    <row r="165" spans="1:9" s="2" customFormat="1" ht="31.5" x14ac:dyDescent="0.25">
      <c r="A165" s="99"/>
      <c r="B165" s="96"/>
      <c r="C165" s="16" t="str">
        <f>C163</f>
        <v>бюджет Кольского района</v>
      </c>
      <c r="D165" s="17">
        <f>D163+D162</f>
        <v>7607</v>
      </c>
      <c r="E165" s="17">
        <f t="shared" ref="E165" si="38">E163+E162</f>
        <v>7607</v>
      </c>
      <c r="F165" s="17">
        <f>F163+F162</f>
        <v>7487.7</v>
      </c>
      <c r="G165" s="17">
        <f>G163+G162</f>
        <v>7487.7</v>
      </c>
      <c r="H165" s="18" t="s">
        <v>16</v>
      </c>
      <c r="I165" s="19">
        <f t="shared" si="36"/>
        <v>0.98429999999999995</v>
      </c>
    </row>
    <row r="166" spans="1:9" s="2" customFormat="1" x14ac:dyDescent="0.25">
      <c r="A166" s="97"/>
      <c r="B166" s="94" t="s">
        <v>68</v>
      </c>
      <c r="C166" s="13" t="s">
        <v>34</v>
      </c>
      <c r="D166" s="28">
        <f>D167+D168</f>
        <v>291373.39999999997</v>
      </c>
      <c r="E166" s="28">
        <f t="shared" ref="E166:F166" si="39">E167+E168</f>
        <v>291373.39999999997</v>
      </c>
      <c r="F166" s="28">
        <f t="shared" si="39"/>
        <v>286775.2</v>
      </c>
      <c r="G166" s="28">
        <f>G167+G168</f>
        <v>286775.2</v>
      </c>
      <c r="H166" s="43" t="s">
        <v>16</v>
      </c>
      <c r="I166" s="44">
        <f t="shared" si="36"/>
        <v>0.98419999999999996</v>
      </c>
    </row>
    <row r="167" spans="1:9" s="2" customFormat="1" ht="31.5" x14ac:dyDescent="0.25">
      <c r="A167" s="98"/>
      <c r="B167" s="112"/>
      <c r="C167" s="46" t="s">
        <v>15</v>
      </c>
      <c r="D167" s="47">
        <f>D143+D159+D165+0.1</f>
        <v>283410.69999999995</v>
      </c>
      <c r="E167" s="47">
        <f t="shared" ref="E167" si="40">E143+E159+E165+0.1</f>
        <v>283410.69999999995</v>
      </c>
      <c r="F167" s="47">
        <f>F143+F159+F165</f>
        <v>278812.5</v>
      </c>
      <c r="G167" s="47">
        <f>G143+G159+G165</f>
        <v>278812.5</v>
      </c>
      <c r="H167" s="36" t="s">
        <v>16</v>
      </c>
      <c r="I167" s="39">
        <f t="shared" si="36"/>
        <v>0.98380000000000001</v>
      </c>
    </row>
    <row r="168" spans="1:9" s="2" customFormat="1" ht="47.25" x14ac:dyDescent="0.25">
      <c r="A168" s="99"/>
      <c r="B168" s="104"/>
      <c r="C168" s="16" t="s">
        <v>27</v>
      </c>
      <c r="D168" s="17">
        <f>D144+D160</f>
        <v>7962.7</v>
      </c>
      <c r="E168" s="17">
        <f>E144+E160</f>
        <v>7962.7</v>
      </c>
      <c r="F168" s="17">
        <f>F144+F160</f>
        <v>7962.7</v>
      </c>
      <c r="G168" s="17">
        <f>G144+G160</f>
        <v>7962.7</v>
      </c>
      <c r="H168" s="18" t="s">
        <v>16</v>
      </c>
      <c r="I168" s="19">
        <f t="shared" si="36"/>
        <v>1</v>
      </c>
    </row>
    <row r="169" spans="1:9" s="2" customFormat="1" x14ac:dyDescent="0.25">
      <c r="A169" s="48">
        <v>6</v>
      </c>
      <c r="B169" s="100" t="s">
        <v>105</v>
      </c>
      <c r="C169" s="101"/>
      <c r="D169" s="101"/>
      <c r="E169" s="101"/>
      <c r="F169" s="101"/>
      <c r="G169" s="101"/>
      <c r="H169" s="101"/>
      <c r="I169" s="102"/>
    </row>
    <row r="170" spans="1:9" s="2" customFormat="1" ht="47.25" x14ac:dyDescent="0.25">
      <c r="A170" s="48"/>
      <c r="B170" s="16" t="s">
        <v>106</v>
      </c>
      <c r="C170" s="16" t="s">
        <v>15</v>
      </c>
      <c r="D170" s="17">
        <f>2427.5+270</f>
        <v>2697.5</v>
      </c>
      <c r="E170" s="17">
        <f>2427.5+270</f>
        <v>2697.5</v>
      </c>
      <c r="F170" s="17">
        <v>2392</v>
      </c>
      <c r="G170" s="17">
        <v>2392</v>
      </c>
      <c r="H170" s="18" t="s">
        <v>16</v>
      </c>
      <c r="I170" s="19">
        <f>ROUND(G170/E170,4)</f>
        <v>0.88670000000000004</v>
      </c>
    </row>
    <row r="171" spans="1:9" s="2" customFormat="1" x14ac:dyDescent="0.25">
      <c r="A171" s="97"/>
      <c r="B171" s="94" t="s">
        <v>68</v>
      </c>
      <c r="C171" s="13" t="s">
        <v>34</v>
      </c>
      <c r="D171" s="28">
        <f>D172</f>
        <v>2697.5</v>
      </c>
      <c r="E171" s="28">
        <f>E172</f>
        <v>2697.5</v>
      </c>
      <c r="F171" s="28">
        <f>F172</f>
        <v>2392</v>
      </c>
      <c r="G171" s="28">
        <f>G172</f>
        <v>2392</v>
      </c>
      <c r="H171" s="43" t="s">
        <v>16</v>
      </c>
      <c r="I171" s="44">
        <f>ROUND(G171/E171,4)</f>
        <v>0.88670000000000004</v>
      </c>
    </row>
    <row r="172" spans="1:9" s="2" customFormat="1" ht="31.5" x14ac:dyDescent="0.25">
      <c r="A172" s="99"/>
      <c r="B172" s="104"/>
      <c r="C172" s="46" t="s">
        <v>15</v>
      </c>
      <c r="D172" s="47">
        <f>D170</f>
        <v>2697.5</v>
      </c>
      <c r="E172" s="47">
        <f>E170</f>
        <v>2697.5</v>
      </c>
      <c r="F172" s="47">
        <f>F170</f>
        <v>2392</v>
      </c>
      <c r="G172" s="47">
        <f>G170</f>
        <v>2392</v>
      </c>
      <c r="H172" s="36" t="s">
        <v>16</v>
      </c>
      <c r="I172" s="39">
        <f>ROUND(G172/E172,4)</f>
        <v>0.88670000000000004</v>
      </c>
    </row>
    <row r="173" spans="1:9" s="2" customFormat="1" x14ac:dyDescent="0.25">
      <c r="A173" s="48">
        <v>7</v>
      </c>
      <c r="B173" s="100" t="s">
        <v>107</v>
      </c>
      <c r="C173" s="101"/>
      <c r="D173" s="101"/>
      <c r="E173" s="101"/>
      <c r="F173" s="101"/>
      <c r="G173" s="101"/>
      <c r="H173" s="101"/>
      <c r="I173" s="102"/>
    </row>
    <row r="174" spans="1:9" s="2" customFormat="1" x14ac:dyDescent="0.25">
      <c r="A174" s="131" t="s">
        <v>108</v>
      </c>
      <c r="B174" s="132"/>
      <c r="C174" s="132"/>
      <c r="D174" s="132"/>
      <c r="E174" s="132"/>
      <c r="F174" s="132"/>
      <c r="G174" s="132"/>
      <c r="H174" s="132"/>
      <c r="I174" s="133"/>
    </row>
    <row r="175" spans="1:9" s="2" customFormat="1" ht="63" x14ac:dyDescent="0.25">
      <c r="A175" s="15"/>
      <c r="B175" s="16" t="s">
        <v>109</v>
      </c>
      <c r="C175" s="16" t="s">
        <v>15</v>
      </c>
      <c r="D175" s="17">
        <v>283.5</v>
      </c>
      <c r="E175" s="17">
        <v>283.5</v>
      </c>
      <c r="F175" s="17">
        <v>46.7</v>
      </c>
      <c r="G175" s="17">
        <v>46.7</v>
      </c>
      <c r="H175" s="18" t="s">
        <v>16</v>
      </c>
      <c r="I175" s="19">
        <f>ROUND(G175/E175,4)</f>
        <v>0.16470000000000001</v>
      </c>
    </row>
    <row r="176" spans="1:9" s="2" customFormat="1" ht="31.5" x14ac:dyDescent="0.25">
      <c r="A176" s="53"/>
      <c r="B176" s="13" t="s">
        <v>33</v>
      </c>
      <c r="C176" s="13" t="s">
        <v>15</v>
      </c>
      <c r="D176" s="28">
        <f>D175</f>
        <v>283.5</v>
      </c>
      <c r="E176" s="28">
        <f>E175</f>
        <v>283.5</v>
      </c>
      <c r="F176" s="28">
        <f>F175</f>
        <v>46.7</v>
      </c>
      <c r="G176" s="28">
        <f>G175</f>
        <v>46.7</v>
      </c>
      <c r="H176" s="43" t="s">
        <v>16</v>
      </c>
      <c r="I176" s="44">
        <f>ROUND(G176/E176,4)</f>
        <v>0.16470000000000001</v>
      </c>
    </row>
    <row r="177" spans="1:9" s="2" customFormat="1" x14ac:dyDescent="0.25">
      <c r="A177" s="131" t="s">
        <v>110</v>
      </c>
      <c r="B177" s="132"/>
      <c r="C177" s="132"/>
      <c r="D177" s="132"/>
      <c r="E177" s="132"/>
      <c r="F177" s="132"/>
      <c r="G177" s="132"/>
      <c r="H177" s="132"/>
      <c r="I177" s="133"/>
    </row>
    <row r="178" spans="1:9" s="2" customFormat="1" ht="31.5" x14ac:dyDescent="0.25">
      <c r="A178" s="53"/>
      <c r="B178" s="16" t="s">
        <v>111</v>
      </c>
      <c r="C178" s="16" t="s">
        <v>15</v>
      </c>
      <c r="D178" s="17">
        <v>11924.4</v>
      </c>
      <c r="E178" s="17">
        <v>11924.4</v>
      </c>
      <c r="F178" s="17">
        <v>10273.700000000001</v>
      </c>
      <c r="G178" s="17">
        <v>10240</v>
      </c>
      <c r="H178" s="18" t="s">
        <v>16</v>
      </c>
      <c r="I178" s="19">
        <f t="shared" ref="I178:I189" si="41">ROUND(G178/E178,4)</f>
        <v>0.85870000000000002</v>
      </c>
    </row>
    <row r="179" spans="1:9" s="8" customFormat="1" ht="78.75" x14ac:dyDescent="0.25">
      <c r="A179" s="53"/>
      <c r="B179" s="16" t="s">
        <v>112</v>
      </c>
      <c r="C179" s="16" t="s">
        <v>27</v>
      </c>
      <c r="D179" s="17">
        <v>10535.6</v>
      </c>
      <c r="E179" s="17">
        <v>10535.6</v>
      </c>
      <c r="F179" s="17">
        <v>6492.5</v>
      </c>
      <c r="G179" s="17">
        <v>6492.5</v>
      </c>
      <c r="H179" s="18" t="s">
        <v>16</v>
      </c>
      <c r="I179" s="19">
        <f t="shared" si="41"/>
        <v>0.61619999999999997</v>
      </c>
    </row>
    <row r="180" spans="1:9" s="2" customFormat="1" ht="141.75" x14ac:dyDescent="0.25">
      <c r="A180" s="53"/>
      <c r="B180" s="16" t="s">
        <v>113</v>
      </c>
      <c r="C180" s="16" t="s">
        <v>27</v>
      </c>
      <c r="D180" s="17">
        <v>1206.0999999999999</v>
      </c>
      <c r="E180" s="17">
        <v>1206.0999999999999</v>
      </c>
      <c r="F180" s="17">
        <v>0</v>
      </c>
      <c r="G180" s="17">
        <v>0</v>
      </c>
      <c r="H180" s="18" t="s">
        <v>16</v>
      </c>
      <c r="I180" s="19">
        <f t="shared" si="41"/>
        <v>0</v>
      </c>
    </row>
    <row r="181" spans="1:9" s="8" customFormat="1" ht="94.5" x14ac:dyDescent="0.25">
      <c r="A181" s="53"/>
      <c r="B181" s="16" t="s">
        <v>114</v>
      </c>
      <c r="C181" s="16" t="s">
        <v>15</v>
      </c>
      <c r="D181" s="17">
        <v>3400.4</v>
      </c>
      <c r="E181" s="17">
        <v>3400.4</v>
      </c>
      <c r="F181" s="17">
        <v>2095.5</v>
      </c>
      <c r="G181" s="17">
        <v>2095.5</v>
      </c>
      <c r="H181" s="18" t="s">
        <v>16</v>
      </c>
      <c r="I181" s="19">
        <f t="shared" si="41"/>
        <v>0.61629999999999996</v>
      </c>
    </row>
    <row r="182" spans="1:9" s="8" customFormat="1" ht="141.75" x14ac:dyDescent="0.25">
      <c r="A182" s="54"/>
      <c r="B182" s="21" t="s">
        <v>115</v>
      </c>
      <c r="C182" s="16" t="s">
        <v>15</v>
      </c>
      <c r="D182" s="17">
        <v>16620.5</v>
      </c>
      <c r="E182" s="17">
        <v>16620.5</v>
      </c>
      <c r="F182" s="17">
        <v>16174.8</v>
      </c>
      <c r="G182" s="17">
        <v>16174.8</v>
      </c>
      <c r="H182" s="18" t="s">
        <v>16</v>
      </c>
      <c r="I182" s="19">
        <f t="shared" si="41"/>
        <v>0.97319999999999995</v>
      </c>
    </row>
    <row r="183" spans="1:9" s="8" customFormat="1" ht="141.75" x14ac:dyDescent="0.25">
      <c r="A183" s="54"/>
      <c r="B183" s="21" t="s">
        <v>116</v>
      </c>
      <c r="C183" s="16" t="s">
        <v>15</v>
      </c>
      <c r="D183" s="17">
        <v>389.3</v>
      </c>
      <c r="E183" s="17">
        <v>389.3</v>
      </c>
      <c r="F183" s="17">
        <v>0</v>
      </c>
      <c r="G183" s="17">
        <v>0</v>
      </c>
      <c r="H183" s="18" t="s">
        <v>16</v>
      </c>
      <c r="I183" s="19">
        <f t="shared" si="41"/>
        <v>0</v>
      </c>
    </row>
    <row r="184" spans="1:9" s="8" customFormat="1" x14ac:dyDescent="0.25">
      <c r="A184" s="134"/>
      <c r="B184" s="94" t="s">
        <v>33</v>
      </c>
      <c r="C184" s="13" t="s">
        <v>117</v>
      </c>
      <c r="D184" s="28">
        <f>D186+D185</f>
        <v>44076.3</v>
      </c>
      <c r="E184" s="28">
        <f>E186+E185</f>
        <v>44076.3</v>
      </c>
      <c r="F184" s="28">
        <f>F186+F185</f>
        <v>35036.400000000001</v>
      </c>
      <c r="G184" s="28">
        <f>G186+G185</f>
        <v>35002.800000000003</v>
      </c>
      <c r="H184" s="18" t="s">
        <v>16</v>
      </c>
      <c r="I184" s="19">
        <f t="shared" si="41"/>
        <v>0.79410000000000003</v>
      </c>
    </row>
    <row r="185" spans="1:9" s="8" customFormat="1" ht="47.25" x14ac:dyDescent="0.25">
      <c r="A185" s="135"/>
      <c r="B185" s="95"/>
      <c r="C185" s="13" t="s">
        <v>27</v>
      </c>
      <c r="D185" s="17">
        <f>D179+D180</f>
        <v>11741.7</v>
      </c>
      <c r="E185" s="17">
        <f t="shared" ref="E185:G185" si="42">E179+E180</f>
        <v>11741.7</v>
      </c>
      <c r="F185" s="17">
        <f>F179+F180-0.1</f>
        <v>6492.4</v>
      </c>
      <c r="G185" s="17">
        <f t="shared" si="42"/>
        <v>6492.5</v>
      </c>
      <c r="H185" s="18" t="s">
        <v>16</v>
      </c>
      <c r="I185" s="19">
        <f t="shared" si="41"/>
        <v>0.55289999999999995</v>
      </c>
    </row>
    <row r="186" spans="1:9" s="8" customFormat="1" ht="31.5" x14ac:dyDescent="0.25">
      <c r="A186" s="136"/>
      <c r="B186" s="117"/>
      <c r="C186" s="13" t="s">
        <v>15</v>
      </c>
      <c r="D186" s="17">
        <f>D178+D181+D182+D183</f>
        <v>32334.6</v>
      </c>
      <c r="E186" s="17">
        <f>E178+E181+E182+E183</f>
        <v>32334.6</v>
      </c>
      <c r="F186" s="17">
        <f t="shared" ref="F186:G186" si="43">F178+F181+F182+F183</f>
        <v>28544</v>
      </c>
      <c r="G186" s="17">
        <f t="shared" si="43"/>
        <v>28510.3</v>
      </c>
      <c r="H186" s="18" t="s">
        <v>16</v>
      </c>
      <c r="I186" s="19">
        <f t="shared" si="41"/>
        <v>0.88170000000000004</v>
      </c>
    </row>
    <row r="187" spans="1:9" s="8" customFormat="1" x14ac:dyDescent="0.25">
      <c r="A187" s="97"/>
      <c r="B187" s="94" t="s">
        <v>68</v>
      </c>
      <c r="C187" s="13" t="s">
        <v>34</v>
      </c>
      <c r="D187" s="28">
        <f>D188+D189</f>
        <v>44359.8</v>
      </c>
      <c r="E187" s="28">
        <f>E188+E189</f>
        <v>44359.8</v>
      </c>
      <c r="F187" s="28">
        <f>F188+F189</f>
        <v>35083.1</v>
      </c>
      <c r="G187" s="28">
        <f>G188+G189</f>
        <v>35049.5</v>
      </c>
      <c r="H187" s="43" t="s">
        <v>16</v>
      </c>
      <c r="I187" s="44">
        <f t="shared" si="41"/>
        <v>0.79010000000000002</v>
      </c>
    </row>
    <row r="188" spans="1:9" s="8" customFormat="1" ht="31.5" x14ac:dyDescent="0.25">
      <c r="A188" s="98"/>
      <c r="B188" s="112"/>
      <c r="C188" s="46" t="s">
        <v>15</v>
      </c>
      <c r="D188" s="47">
        <f t="shared" ref="D188:G188" si="44">D176+D186</f>
        <v>32618.1</v>
      </c>
      <c r="E188" s="47">
        <f t="shared" si="44"/>
        <v>32618.1</v>
      </c>
      <c r="F188" s="47">
        <f t="shared" si="44"/>
        <v>28590.7</v>
      </c>
      <c r="G188" s="47">
        <f t="shared" si="44"/>
        <v>28557</v>
      </c>
      <c r="H188" s="36" t="s">
        <v>16</v>
      </c>
      <c r="I188" s="39">
        <f t="shared" si="41"/>
        <v>0.87549999999999994</v>
      </c>
    </row>
    <row r="189" spans="1:9" s="8" customFormat="1" ht="47.25" x14ac:dyDescent="0.25">
      <c r="A189" s="99"/>
      <c r="B189" s="104"/>
      <c r="C189" s="16" t="s">
        <v>27</v>
      </c>
      <c r="D189" s="17">
        <f>D185</f>
        <v>11741.7</v>
      </c>
      <c r="E189" s="17">
        <f>E185</f>
        <v>11741.7</v>
      </c>
      <c r="F189" s="17">
        <f>F185</f>
        <v>6492.4</v>
      </c>
      <c r="G189" s="17">
        <f>G185</f>
        <v>6492.5</v>
      </c>
      <c r="H189" s="18" t="s">
        <v>16</v>
      </c>
      <c r="I189" s="19">
        <f t="shared" si="41"/>
        <v>0.55289999999999995</v>
      </c>
    </row>
    <row r="190" spans="1:9" s="2" customFormat="1" x14ac:dyDescent="0.25">
      <c r="A190" s="48">
        <v>8</v>
      </c>
      <c r="B190" s="128" t="s">
        <v>118</v>
      </c>
      <c r="C190" s="130"/>
      <c r="D190" s="130"/>
      <c r="E190" s="130"/>
      <c r="F190" s="130"/>
      <c r="G190" s="130"/>
      <c r="H190" s="130"/>
      <c r="I190" s="129"/>
    </row>
    <row r="191" spans="1:9" s="2" customFormat="1" x14ac:dyDescent="0.25">
      <c r="A191" s="128" t="s">
        <v>119</v>
      </c>
      <c r="B191" s="130"/>
      <c r="C191" s="130"/>
      <c r="D191" s="130"/>
      <c r="E191" s="130"/>
      <c r="F191" s="130"/>
      <c r="G191" s="130"/>
      <c r="H191" s="130"/>
      <c r="I191" s="129"/>
    </row>
    <row r="192" spans="1:9" s="2" customFormat="1" ht="63" x14ac:dyDescent="0.25">
      <c r="A192" s="55"/>
      <c r="B192" s="16" t="s">
        <v>120</v>
      </c>
      <c r="C192" s="16" t="s">
        <v>15</v>
      </c>
      <c r="D192" s="17">
        <v>3230</v>
      </c>
      <c r="E192" s="17">
        <v>3230</v>
      </c>
      <c r="F192" s="17">
        <v>2957.3</v>
      </c>
      <c r="G192" s="17">
        <v>2957.3</v>
      </c>
      <c r="H192" s="18" t="s">
        <v>16</v>
      </c>
      <c r="I192" s="19">
        <f>ROUND(G192/E192,4)</f>
        <v>0.91559999999999997</v>
      </c>
    </row>
    <row r="193" spans="1:9" s="2" customFormat="1" x14ac:dyDescent="0.25">
      <c r="A193" s="118"/>
      <c r="B193" s="94" t="s">
        <v>33</v>
      </c>
      <c r="C193" s="13" t="s">
        <v>34</v>
      </c>
      <c r="D193" s="28">
        <f>D194</f>
        <v>3230</v>
      </c>
      <c r="E193" s="28">
        <f>E194</f>
        <v>3230</v>
      </c>
      <c r="F193" s="28">
        <f>F194</f>
        <v>2957.3</v>
      </c>
      <c r="G193" s="28">
        <f>G194</f>
        <v>2957.3</v>
      </c>
      <c r="H193" s="18" t="s">
        <v>16</v>
      </c>
      <c r="I193" s="19">
        <f>ROUND(G193/E193,4)</f>
        <v>0.91559999999999997</v>
      </c>
    </row>
    <row r="194" spans="1:9" s="2" customFormat="1" ht="31.5" x14ac:dyDescent="0.25">
      <c r="A194" s="99"/>
      <c r="B194" s="104"/>
      <c r="C194" s="16" t="s">
        <v>15</v>
      </c>
      <c r="D194" s="17">
        <f>D192</f>
        <v>3230</v>
      </c>
      <c r="E194" s="17">
        <f>E192</f>
        <v>3230</v>
      </c>
      <c r="F194" s="17">
        <f>F192</f>
        <v>2957.3</v>
      </c>
      <c r="G194" s="17">
        <f>G192</f>
        <v>2957.3</v>
      </c>
      <c r="H194" s="18" t="s">
        <v>16</v>
      </c>
      <c r="I194" s="19">
        <f>ROUND(G194/E194,4)</f>
        <v>0.91559999999999997</v>
      </c>
    </row>
    <row r="195" spans="1:9" s="2" customFormat="1" x14ac:dyDescent="0.25">
      <c r="A195" s="128" t="s">
        <v>121</v>
      </c>
      <c r="B195" s="130"/>
      <c r="C195" s="130"/>
      <c r="D195" s="130"/>
      <c r="E195" s="130"/>
      <c r="F195" s="130"/>
      <c r="G195" s="130"/>
      <c r="H195" s="130"/>
      <c r="I195" s="129"/>
    </row>
    <row r="196" spans="1:9" s="2" customFormat="1" ht="31.5" x14ac:dyDescent="0.25">
      <c r="A196" s="45"/>
      <c r="B196" s="16" t="s">
        <v>122</v>
      </c>
      <c r="C196" s="16" t="s">
        <v>15</v>
      </c>
      <c r="D196" s="17">
        <v>300</v>
      </c>
      <c r="E196" s="17">
        <v>300</v>
      </c>
      <c r="F196" s="17">
        <v>300</v>
      </c>
      <c r="G196" s="17">
        <v>300</v>
      </c>
      <c r="H196" s="18" t="s">
        <v>16</v>
      </c>
      <c r="I196" s="19">
        <f>ROUND(G196/E196,4)</f>
        <v>1</v>
      </c>
    </row>
    <row r="197" spans="1:9" s="2" customFormat="1" ht="173.25" x14ac:dyDescent="0.25">
      <c r="A197" s="45"/>
      <c r="B197" s="16" t="s">
        <v>123</v>
      </c>
      <c r="C197" s="16" t="s">
        <v>15</v>
      </c>
      <c r="D197" s="17">
        <v>200</v>
      </c>
      <c r="E197" s="17">
        <v>200</v>
      </c>
      <c r="F197" s="17">
        <v>200</v>
      </c>
      <c r="G197" s="17">
        <v>200</v>
      </c>
      <c r="H197" s="18" t="s">
        <v>16</v>
      </c>
      <c r="I197" s="19">
        <f>ROUND(G197/E197,4)</f>
        <v>1</v>
      </c>
    </row>
    <row r="198" spans="1:9" s="4" customFormat="1" ht="173.25" x14ac:dyDescent="0.25">
      <c r="A198" s="45"/>
      <c r="B198" s="16" t="s">
        <v>124</v>
      </c>
      <c r="C198" s="16" t="s">
        <v>15</v>
      </c>
      <c r="D198" s="17">
        <v>500</v>
      </c>
      <c r="E198" s="17">
        <v>500</v>
      </c>
      <c r="F198" s="17">
        <v>405.6</v>
      </c>
      <c r="G198" s="17">
        <v>405.6</v>
      </c>
      <c r="H198" s="18" t="s">
        <v>16</v>
      </c>
      <c r="I198" s="19">
        <f>ROUND(G198/E198,4)</f>
        <v>0.81120000000000003</v>
      </c>
    </row>
    <row r="199" spans="1:9" s="4" customFormat="1" x14ac:dyDescent="0.25">
      <c r="A199" s="118"/>
      <c r="B199" s="94" t="s">
        <v>33</v>
      </c>
      <c r="C199" s="56" t="s">
        <v>34</v>
      </c>
      <c r="D199" s="57">
        <f>D200</f>
        <v>1000</v>
      </c>
      <c r="E199" s="57">
        <f>E200</f>
        <v>1000</v>
      </c>
      <c r="F199" s="57">
        <f>F200</f>
        <v>905.6</v>
      </c>
      <c r="G199" s="57">
        <f>G200</f>
        <v>905.6</v>
      </c>
      <c r="H199" s="18" t="s">
        <v>16</v>
      </c>
      <c r="I199" s="19">
        <f>ROUND(G199/E199,4)</f>
        <v>0.90559999999999996</v>
      </c>
    </row>
    <row r="200" spans="1:9" s="4" customFormat="1" ht="31.5" x14ac:dyDescent="0.25">
      <c r="A200" s="104"/>
      <c r="B200" s="104"/>
      <c r="C200" s="16" t="s">
        <v>15</v>
      </c>
      <c r="D200" s="17">
        <f>D196+D197+D198</f>
        <v>1000</v>
      </c>
      <c r="E200" s="17">
        <f>E196+E197+E198</f>
        <v>1000</v>
      </c>
      <c r="F200" s="17">
        <f>F196+F197+F198</f>
        <v>905.6</v>
      </c>
      <c r="G200" s="17">
        <f>G196+G197+G198</f>
        <v>905.6</v>
      </c>
      <c r="H200" s="18" t="s">
        <v>16</v>
      </c>
      <c r="I200" s="19">
        <f>ROUND(G200/E200,4)</f>
        <v>0.90559999999999996</v>
      </c>
    </row>
    <row r="201" spans="1:9" s="4" customFormat="1" x14ac:dyDescent="0.25">
      <c r="A201" s="45"/>
      <c r="B201" s="128" t="s">
        <v>125</v>
      </c>
      <c r="C201" s="130"/>
      <c r="D201" s="130"/>
      <c r="E201" s="130"/>
      <c r="F201" s="130"/>
      <c r="G201" s="130"/>
      <c r="H201" s="130"/>
      <c r="I201" s="129"/>
    </row>
    <row r="202" spans="1:9" s="4" customFormat="1" ht="31.5" x14ac:dyDescent="0.25">
      <c r="A202" s="45"/>
      <c r="B202" s="16" t="s">
        <v>126</v>
      </c>
      <c r="C202" s="16" t="s">
        <v>15</v>
      </c>
      <c r="D202" s="17">
        <v>30</v>
      </c>
      <c r="E202" s="17">
        <v>30</v>
      </c>
      <c r="F202" s="17">
        <v>30</v>
      </c>
      <c r="G202" s="17">
        <v>30</v>
      </c>
      <c r="H202" s="18" t="s">
        <v>16</v>
      </c>
      <c r="I202" s="19">
        <f t="shared" ref="I202:I207" si="45">ROUND(G202/E202,4)</f>
        <v>1</v>
      </c>
    </row>
    <row r="203" spans="1:9" s="4" customFormat="1" ht="31.5" x14ac:dyDescent="0.25">
      <c r="A203" s="45"/>
      <c r="B203" s="16" t="s">
        <v>127</v>
      </c>
      <c r="C203" s="16" t="s">
        <v>15</v>
      </c>
      <c r="D203" s="17">
        <v>20</v>
      </c>
      <c r="E203" s="17">
        <v>20</v>
      </c>
      <c r="F203" s="17">
        <v>20</v>
      </c>
      <c r="G203" s="17">
        <v>20</v>
      </c>
      <c r="H203" s="18" t="s">
        <v>16</v>
      </c>
      <c r="I203" s="19">
        <f t="shared" si="45"/>
        <v>1</v>
      </c>
    </row>
    <row r="204" spans="1:9" s="4" customFormat="1" x14ac:dyDescent="0.25">
      <c r="A204" s="118"/>
      <c r="B204" s="94" t="s">
        <v>33</v>
      </c>
      <c r="C204" s="56" t="s">
        <v>34</v>
      </c>
      <c r="D204" s="57">
        <f>D205</f>
        <v>50</v>
      </c>
      <c r="E204" s="57">
        <f>E205</f>
        <v>50</v>
      </c>
      <c r="F204" s="57">
        <f>F205</f>
        <v>50</v>
      </c>
      <c r="G204" s="57">
        <f>G205</f>
        <v>50</v>
      </c>
      <c r="H204" s="43" t="s">
        <v>16</v>
      </c>
      <c r="I204" s="44">
        <f t="shared" si="45"/>
        <v>1</v>
      </c>
    </row>
    <row r="205" spans="1:9" s="4" customFormat="1" ht="31.5" x14ac:dyDescent="0.25">
      <c r="A205" s="104"/>
      <c r="B205" s="104"/>
      <c r="C205" s="16" t="s">
        <v>15</v>
      </c>
      <c r="D205" s="17">
        <f>D202+D203</f>
        <v>50</v>
      </c>
      <c r="E205" s="17">
        <f>E202+E203</f>
        <v>50</v>
      </c>
      <c r="F205" s="17">
        <f>F202+F203</f>
        <v>50</v>
      </c>
      <c r="G205" s="17">
        <f>G202+G203</f>
        <v>50</v>
      </c>
      <c r="H205" s="18" t="s">
        <v>16</v>
      </c>
      <c r="I205" s="19">
        <f t="shared" si="45"/>
        <v>1</v>
      </c>
    </row>
    <row r="206" spans="1:9" s="4" customFormat="1" x14ac:dyDescent="0.25">
      <c r="A206" s="94"/>
      <c r="B206" s="94" t="s">
        <v>68</v>
      </c>
      <c r="C206" s="56" t="s">
        <v>34</v>
      </c>
      <c r="D206" s="57">
        <f>D207</f>
        <v>4280</v>
      </c>
      <c r="E206" s="57">
        <f t="shared" ref="E206:G206" si="46">E207</f>
        <v>4280</v>
      </c>
      <c r="F206" s="57">
        <f t="shared" si="46"/>
        <v>3912.9</v>
      </c>
      <c r="G206" s="57">
        <f t="shared" si="46"/>
        <v>3912.9</v>
      </c>
      <c r="H206" s="43" t="s">
        <v>16</v>
      </c>
      <c r="I206" s="44">
        <f t="shared" si="45"/>
        <v>0.91420000000000001</v>
      </c>
    </row>
    <row r="207" spans="1:9" s="4" customFormat="1" ht="31.5" x14ac:dyDescent="0.25">
      <c r="A207" s="117"/>
      <c r="B207" s="105"/>
      <c r="C207" s="46" t="s">
        <v>15</v>
      </c>
      <c r="D207" s="47">
        <f>D194+D200+D205</f>
        <v>4280</v>
      </c>
      <c r="E207" s="47">
        <f t="shared" ref="E207:G207" si="47">E194+E200+E205</f>
        <v>4280</v>
      </c>
      <c r="F207" s="47">
        <f t="shared" si="47"/>
        <v>3912.9</v>
      </c>
      <c r="G207" s="47">
        <f t="shared" si="47"/>
        <v>3912.9</v>
      </c>
      <c r="H207" s="36" t="s">
        <v>16</v>
      </c>
      <c r="I207" s="39">
        <f t="shared" si="45"/>
        <v>0.91420000000000001</v>
      </c>
    </row>
    <row r="208" spans="1:9" s="4" customFormat="1" x14ac:dyDescent="0.25">
      <c r="A208" s="48">
        <v>9</v>
      </c>
      <c r="B208" s="109" t="s">
        <v>128</v>
      </c>
      <c r="C208" s="110"/>
      <c r="D208" s="110"/>
      <c r="E208" s="110"/>
      <c r="F208" s="110"/>
      <c r="G208" s="110"/>
      <c r="H208" s="110"/>
      <c r="I208" s="111"/>
    </row>
    <row r="209" spans="1:9" s="4" customFormat="1" x14ac:dyDescent="0.25">
      <c r="A209" s="48"/>
      <c r="B209" s="109" t="s">
        <v>129</v>
      </c>
      <c r="C209" s="110"/>
      <c r="D209" s="110"/>
      <c r="E209" s="110"/>
      <c r="F209" s="110"/>
      <c r="G209" s="110"/>
      <c r="H209" s="110"/>
      <c r="I209" s="111"/>
    </row>
    <row r="210" spans="1:9" s="4" customFormat="1" ht="31.5" x14ac:dyDescent="0.25">
      <c r="A210" s="49"/>
      <c r="B210" s="58" t="s">
        <v>130</v>
      </c>
      <c r="C210" s="16" t="s">
        <v>281</v>
      </c>
      <c r="D210" s="17">
        <v>555.70000000000005</v>
      </c>
      <c r="E210" s="17">
        <v>555.70000000000005</v>
      </c>
      <c r="F210" s="17">
        <v>1.8</v>
      </c>
      <c r="G210" s="17">
        <v>1.8</v>
      </c>
      <c r="H210" s="18" t="s">
        <v>16</v>
      </c>
      <c r="I210" s="19">
        <f t="shared" ref="I210:I218" si="48">ROUND(G210/E210,4)</f>
        <v>3.2000000000000002E-3</v>
      </c>
    </row>
    <row r="211" spans="1:9" s="2" customFormat="1" ht="110.25" x14ac:dyDescent="0.25">
      <c r="A211" s="49"/>
      <c r="B211" s="58" t="s">
        <v>131</v>
      </c>
      <c r="C211" s="16" t="s">
        <v>281</v>
      </c>
      <c r="D211" s="17">
        <v>430</v>
      </c>
      <c r="E211" s="17">
        <v>430</v>
      </c>
      <c r="F211" s="17">
        <v>430</v>
      </c>
      <c r="G211" s="17">
        <v>429.7</v>
      </c>
      <c r="H211" s="18" t="s">
        <v>16</v>
      </c>
      <c r="I211" s="19">
        <f t="shared" si="48"/>
        <v>0.99929999999999997</v>
      </c>
    </row>
    <row r="212" spans="1:9" s="2" customFormat="1" ht="78.75" x14ac:dyDescent="0.25">
      <c r="A212" s="49"/>
      <c r="B212" s="58" t="s">
        <v>132</v>
      </c>
      <c r="C212" s="16" t="s">
        <v>281</v>
      </c>
      <c r="D212" s="17">
        <v>2712.5</v>
      </c>
      <c r="E212" s="17">
        <v>2712.5</v>
      </c>
      <c r="F212" s="17">
        <v>2219</v>
      </c>
      <c r="G212" s="17">
        <v>2219</v>
      </c>
      <c r="H212" s="18" t="s">
        <v>16</v>
      </c>
      <c r="I212" s="19">
        <f t="shared" si="48"/>
        <v>0.81810000000000005</v>
      </c>
    </row>
    <row r="213" spans="1:9" s="2" customFormat="1" ht="47.25" x14ac:dyDescent="0.25">
      <c r="A213" s="49"/>
      <c r="B213" s="58" t="s">
        <v>133</v>
      </c>
      <c r="C213" s="16" t="s">
        <v>281</v>
      </c>
      <c r="D213" s="17">
        <v>70</v>
      </c>
      <c r="E213" s="17">
        <v>70</v>
      </c>
      <c r="F213" s="17">
        <v>0</v>
      </c>
      <c r="G213" s="17">
        <v>0</v>
      </c>
      <c r="H213" s="18" t="s">
        <v>16</v>
      </c>
      <c r="I213" s="19">
        <f t="shared" si="48"/>
        <v>0</v>
      </c>
    </row>
    <row r="214" spans="1:9" s="2" customFormat="1" ht="31.5" x14ac:dyDescent="0.25">
      <c r="A214" s="49"/>
      <c r="B214" s="58" t="s">
        <v>134</v>
      </c>
      <c r="C214" s="16" t="s">
        <v>281</v>
      </c>
      <c r="D214" s="17">
        <v>2696.3</v>
      </c>
      <c r="E214" s="17">
        <v>2696.3</v>
      </c>
      <c r="F214" s="17">
        <v>2634.1</v>
      </c>
      <c r="G214" s="17">
        <v>2634.1</v>
      </c>
      <c r="H214" s="18" t="s">
        <v>16</v>
      </c>
      <c r="I214" s="19">
        <f t="shared" si="48"/>
        <v>0.97689999999999999</v>
      </c>
    </row>
    <row r="215" spans="1:9" s="2" customFormat="1" ht="47.25" x14ac:dyDescent="0.25">
      <c r="A215" s="49"/>
      <c r="B215" s="58" t="s">
        <v>135</v>
      </c>
      <c r="C215" s="16" t="s">
        <v>281</v>
      </c>
      <c r="D215" s="17">
        <v>400</v>
      </c>
      <c r="E215" s="17">
        <v>400</v>
      </c>
      <c r="F215" s="17">
        <v>388.7</v>
      </c>
      <c r="G215" s="17">
        <v>388.7</v>
      </c>
      <c r="H215" s="18" t="s">
        <v>16</v>
      </c>
      <c r="I215" s="19">
        <f t="shared" si="48"/>
        <v>0.9718</v>
      </c>
    </row>
    <row r="216" spans="1:9" s="2" customFormat="1" ht="78.75" x14ac:dyDescent="0.25">
      <c r="A216" s="49"/>
      <c r="B216" s="58" t="s">
        <v>136</v>
      </c>
      <c r="C216" s="16" t="s">
        <v>281</v>
      </c>
      <c r="D216" s="17">
        <v>200</v>
      </c>
      <c r="E216" s="17">
        <v>200</v>
      </c>
      <c r="F216" s="17">
        <v>0</v>
      </c>
      <c r="G216" s="17">
        <v>0</v>
      </c>
      <c r="H216" s="18" t="s">
        <v>16</v>
      </c>
      <c r="I216" s="19">
        <f t="shared" si="48"/>
        <v>0</v>
      </c>
    </row>
    <row r="217" spans="1:9" s="2" customFormat="1" x14ac:dyDescent="0.25">
      <c r="A217" s="118"/>
      <c r="B217" s="94" t="s">
        <v>33</v>
      </c>
      <c r="C217" s="13" t="s">
        <v>34</v>
      </c>
      <c r="D217" s="28">
        <f>D218</f>
        <v>7064.5</v>
      </c>
      <c r="E217" s="28">
        <f>E218</f>
        <v>7064.5</v>
      </c>
      <c r="F217" s="28">
        <f>F218</f>
        <v>5673.5999999999995</v>
      </c>
      <c r="G217" s="28">
        <f>G218</f>
        <v>5673.3</v>
      </c>
      <c r="H217" s="18" t="s">
        <v>16</v>
      </c>
      <c r="I217" s="19">
        <f t="shared" si="48"/>
        <v>0.80310000000000004</v>
      </c>
    </row>
    <row r="218" spans="1:9" s="2" customFormat="1" ht="31.5" x14ac:dyDescent="0.25">
      <c r="A218" s="99"/>
      <c r="B218" s="96"/>
      <c r="C218" s="16" t="s">
        <v>15</v>
      </c>
      <c r="D218" s="17">
        <f>SUM(D210:D216)</f>
        <v>7064.5</v>
      </c>
      <c r="E218" s="17">
        <f t="shared" ref="E218:G218" si="49">SUM(E210:E216)</f>
        <v>7064.5</v>
      </c>
      <c r="F218" s="17">
        <f>SUM(F210:F216)</f>
        <v>5673.5999999999995</v>
      </c>
      <c r="G218" s="17">
        <f t="shared" si="49"/>
        <v>5673.3</v>
      </c>
      <c r="H218" s="18" t="s">
        <v>16</v>
      </c>
      <c r="I218" s="19">
        <f t="shared" si="48"/>
        <v>0.80310000000000004</v>
      </c>
    </row>
    <row r="219" spans="1:9" s="2" customFormat="1" x14ac:dyDescent="0.25">
      <c r="A219" s="109" t="s">
        <v>137</v>
      </c>
      <c r="B219" s="110"/>
      <c r="C219" s="110"/>
      <c r="D219" s="110"/>
      <c r="E219" s="110"/>
      <c r="F219" s="110"/>
      <c r="G219" s="110"/>
      <c r="H219" s="110"/>
      <c r="I219" s="111"/>
    </row>
    <row r="220" spans="1:9" s="2" customFormat="1" ht="47.25" x14ac:dyDescent="0.25">
      <c r="A220" s="59"/>
      <c r="B220" s="60" t="s">
        <v>138</v>
      </c>
      <c r="C220" s="16" t="s">
        <v>27</v>
      </c>
      <c r="D220" s="40">
        <v>99860.5</v>
      </c>
      <c r="E220" s="40">
        <v>99860.5</v>
      </c>
      <c r="F220" s="40">
        <v>99860.5</v>
      </c>
      <c r="G220" s="40">
        <v>99860.5</v>
      </c>
      <c r="H220" s="18" t="s">
        <v>16</v>
      </c>
      <c r="I220" s="19">
        <f t="shared" ref="I220:I229" si="50">ROUND(G220/E220,4)</f>
        <v>1</v>
      </c>
    </row>
    <row r="221" spans="1:9" s="2" customFormat="1" ht="31.5" x14ac:dyDescent="0.25">
      <c r="A221" s="59"/>
      <c r="B221" s="60" t="s">
        <v>138</v>
      </c>
      <c r="C221" s="16" t="s">
        <v>15</v>
      </c>
      <c r="D221" s="40">
        <v>23794.1</v>
      </c>
      <c r="E221" s="40">
        <v>23794.1</v>
      </c>
      <c r="F221" s="40">
        <v>23794.1</v>
      </c>
      <c r="G221" s="40">
        <v>23794.1</v>
      </c>
      <c r="H221" s="18" t="s">
        <v>16</v>
      </c>
      <c r="I221" s="19">
        <f t="shared" si="50"/>
        <v>1</v>
      </c>
    </row>
    <row r="222" spans="1:9" s="2" customFormat="1" ht="47.25" x14ac:dyDescent="0.25">
      <c r="A222" s="61"/>
      <c r="B222" s="62" t="s">
        <v>139</v>
      </c>
      <c r="C222" s="16" t="s">
        <v>27</v>
      </c>
      <c r="D222" s="40">
        <v>38720.5</v>
      </c>
      <c r="E222" s="40">
        <v>38720.5</v>
      </c>
      <c r="F222" s="40">
        <v>38720.5</v>
      </c>
      <c r="G222" s="40">
        <v>38720.5</v>
      </c>
      <c r="H222" s="18" t="s">
        <v>16</v>
      </c>
      <c r="I222" s="19">
        <f t="shared" si="50"/>
        <v>1</v>
      </c>
    </row>
    <row r="223" spans="1:9" s="2" customFormat="1" ht="31.5" x14ac:dyDescent="0.25">
      <c r="A223" s="61"/>
      <c r="B223" s="62" t="s">
        <v>139</v>
      </c>
      <c r="C223" s="16" t="s">
        <v>15</v>
      </c>
      <c r="D223" s="40">
        <v>133723.4</v>
      </c>
      <c r="E223" s="40">
        <v>133723.4</v>
      </c>
      <c r="F223" s="40">
        <f>95940.7+30000</f>
        <v>125940.7</v>
      </c>
      <c r="G223" s="40">
        <f>95940.7+30000</f>
        <v>125940.7</v>
      </c>
      <c r="H223" s="18" t="s">
        <v>16</v>
      </c>
      <c r="I223" s="19">
        <f t="shared" si="50"/>
        <v>0.94179999999999997</v>
      </c>
    </row>
    <row r="224" spans="1:9" s="2" customFormat="1" x14ac:dyDescent="0.25">
      <c r="A224" s="118"/>
      <c r="B224" s="94" t="s">
        <v>33</v>
      </c>
      <c r="C224" s="13" t="s">
        <v>34</v>
      </c>
      <c r="D224" s="28">
        <f>D225+D226</f>
        <v>296098.5</v>
      </c>
      <c r="E224" s="28">
        <f>E225+E226</f>
        <v>296098.5</v>
      </c>
      <c r="F224" s="28">
        <f>F225+F226</f>
        <v>288315.8</v>
      </c>
      <c r="G224" s="28">
        <f>G225+G226</f>
        <v>288315.8</v>
      </c>
      <c r="H224" s="43" t="s">
        <v>16</v>
      </c>
      <c r="I224" s="44">
        <f t="shared" si="50"/>
        <v>0.97370000000000001</v>
      </c>
    </row>
    <row r="225" spans="1:9" s="2" customFormat="1" ht="31.5" x14ac:dyDescent="0.25">
      <c r="A225" s="98"/>
      <c r="B225" s="112"/>
      <c r="C225" s="16" t="s">
        <v>15</v>
      </c>
      <c r="D225" s="17">
        <f>D221+D223</f>
        <v>157517.5</v>
      </c>
      <c r="E225" s="17">
        <f t="shared" ref="E225:G225" si="51">E221+E223</f>
        <v>157517.5</v>
      </c>
      <c r="F225" s="17">
        <f t="shared" si="51"/>
        <v>149734.79999999999</v>
      </c>
      <c r="G225" s="17">
        <f t="shared" si="51"/>
        <v>149734.79999999999</v>
      </c>
      <c r="H225" s="18" t="s">
        <v>16</v>
      </c>
      <c r="I225" s="19">
        <f t="shared" si="50"/>
        <v>0.9506</v>
      </c>
    </row>
    <row r="226" spans="1:9" s="2" customFormat="1" ht="47.25" x14ac:dyDescent="0.25">
      <c r="A226" s="99"/>
      <c r="B226" s="104"/>
      <c r="C226" s="16" t="s">
        <v>27</v>
      </c>
      <c r="D226" s="17">
        <f>D220+D222</f>
        <v>138581</v>
      </c>
      <c r="E226" s="17">
        <f t="shared" ref="E226:G226" si="52">E220+E222</f>
        <v>138581</v>
      </c>
      <c r="F226" s="17">
        <f t="shared" si="52"/>
        <v>138581</v>
      </c>
      <c r="G226" s="17">
        <f t="shared" si="52"/>
        <v>138581</v>
      </c>
      <c r="H226" s="18" t="s">
        <v>16</v>
      </c>
      <c r="I226" s="19">
        <f t="shared" si="50"/>
        <v>1</v>
      </c>
    </row>
    <row r="227" spans="1:9" s="2" customFormat="1" ht="31.5" x14ac:dyDescent="0.25">
      <c r="A227" s="126"/>
      <c r="B227" s="94" t="s">
        <v>68</v>
      </c>
      <c r="C227" s="13" t="s">
        <v>140</v>
      </c>
      <c r="D227" s="28">
        <f>D228+D229</f>
        <v>303163</v>
      </c>
      <c r="E227" s="28">
        <f t="shared" ref="E227:G227" si="53">E228+E229</f>
        <v>303163</v>
      </c>
      <c r="F227" s="28">
        <f>F228+F229</f>
        <v>293989.40000000002</v>
      </c>
      <c r="G227" s="28">
        <f t="shared" si="53"/>
        <v>293989.09999999998</v>
      </c>
      <c r="H227" s="43" t="s">
        <v>16</v>
      </c>
      <c r="I227" s="44">
        <f t="shared" si="50"/>
        <v>0.96970000000000001</v>
      </c>
    </row>
    <row r="228" spans="1:9" s="2" customFormat="1" ht="31.5" x14ac:dyDescent="0.25">
      <c r="A228" s="140"/>
      <c r="B228" s="95"/>
      <c r="C228" s="46" t="s">
        <v>15</v>
      </c>
      <c r="D228" s="47">
        <f>D218+D225</f>
        <v>164582</v>
      </c>
      <c r="E228" s="47">
        <f t="shared" ref="E228:G228" si="54">E218+E225</f>
        <v>164582</v>
      </c>
      <c r="F228" s="47">
        <f t="shared" si="54"/>
        <v>155408.4</v>
      </c>
      <c r="G228" s="47">
        <f t="shared" si="54"/>
        <v>155408.09999999998</v>
      </c>
      <c r="H228" s="36" t="s">
        <v>16</v>
      </c>
      <c r="I228" s="39">
        <f t="shared" si="50"/>
        <v>0.94430000000000003</v>
      </c>
    </row>
    <row r="229" spans="1:9" s="2" customFormat="1" ht="47.25" x14ac:dyDescent="0.25">
      <c r="A229" s="136"/>
      <c r="B229" s="117"/>
      <c r="C229" s="16" t="s">
        <v>27</v>
      </c>
      <c r="D229" s="17">
        <f>D226</f>
        <v>138581</v>
      </c>
      <c r="E229" s="17">
        <f t="shared" ref="E229" si="55">E226</f>
        <v>138581</v>
      </c>
      <c r="F229" s="17">
        <f>F226</f>
        <v>138581</v>
      </c>
      <c r="G229" s="17">
        <f>G226</f>
        <v>138581</v>
      </c>
      <c r="H229" s="18" t="s">
        <v>16</v>
      </c>
      <c r="I229" s="19">
        <f t="shared" si="50"/>
        <v>1</v>
      </c>
    </row>
    <row r="230" spans="1:9" s="2" customFormat="1" x14ac:dyDescent="0.25">
      <c r="A230" s="48">
        <v>10</v>
      </c>
      <c r="B230" s="100" t="s">
        <v>141</v>
      </c>
      <c r="C230" s="101"/>
      <c r="D230" s="101"/>
      <c r="E230" s="101"/>
      <c r="F230" s="101"/>
      <c r="G230" s="101"/>
      <c r="H230" s="101"/>
      <c r="I230" s="102"/>
    </row>
    <row r="231" spans="1:9" s="2" customFormat="1" ht="47.25" x14ac:dyDescent="0.25">
      <c r="A231" s="63"/>
      <c r="B231" s="16" t="s">
        <v>142</v>
      </c>
      <c r="C231" s="16" t="s">
        <v>15</v>
      </c>
      <c r="D231" s="17">
        <v>2216</v>
      </c>
      <c r="E231" s="17">
        <v>2216</v>
      </c>
      <c r="F231" s="17">
        <v>890.8</v>
      </c>
      <c r="G231" s="17">
        <v>890.8</v>
      </c>
      <c r="H231" s="18" t="s">
        <v>16</v>
      </c>
      <c r="I231" s="19">
        <f t="shared" ref="I231:I236" si="56">ROUND(G231/E231,4)</f>
        <v>0.40200000000000002</v>
      </c>
    </row>
    <row r="232" spans="1:9" s="2" customFormat="1" ht="63" x14ac:dyDescent="0.25">
      <c r="A232" s="63"/>
      <c r="B232" s="16" t="s">
        <v>143</v>
      </c>
      <c r="C232" s="16" t="s">
        <v>15</v>
      </c>
      <c r="D232" s="17">
        <v>393.3</v>
      </c>
      <c r="E232" s="17">
        <v>393.3</v>
      </c>
      <c r="F232" s="17">
        <v>393.3</v>
      </c>
      <c r="G232" s="17">
        <v>393.3</v>
      </c>
      <c r="H232" s="18" t="s">
        <v>16</v>
      </c>
      <c r="I232" s="19">
        <f t="shared" si="56"/>
        <v>1</v>
      </c>
    </row>
    <row r="233" spans="1:9" s="2" customFormat="1" ht="94.5" x14ac:dyDescent="0.25">
      <c r="A233" s="64"/>
      <c r="B233" s="21" t="s">
        <v>300</v>
      </c>
      <c r="C233" s="16" t="s">
        <v>15</v>
      </c>
      <c r="D233" s="17">
        <v>140</v>
      </c>
      <c r="E233" s="17">
        <v>140</v>
      </c>
      <c r="F233" s="17">
        <v>106.4</v>
      </c>
      <c r="G233" s="17">
        <v>106.4</v>
      </c>
      <c r="H233" s="18" t="s">
        <v>16</v>
      </c>
      <c r="I233" s="19">
        <f t="shared" si="56"/>
        <v>0.76</v>
      </c>
    </row>
    <row r="234" spans="1:9" s="2" customFormat="1" ht="78.75" x14ac:dyDescent="0.25">
      <c r="A234" s="64"/>
      <c r="B234" s="21" t="s">
        <v>288</v>
      </c>
      <c r="C234" s="16" t="s">
        <v>15</v>
      </c>
      <c r="D234" s="17">
        <v>19175.2</v>
      </c>
      <c r="E234" s="17">
        <v>19175.2</v>
      </c>
      <c r="F234" s="17">
        <v>10520.1</v>
      </c>
      <c r="G234" s="17">
        <v>10520.1</v>
      </c>
      <c r="H234" s="18" t="s">
        <v>16</v>
      </c>
      <c r="I234" s="19">
        <f t="shared" si="56"/>
        <v>0.54859999999999998</v>
      </c>
    </row>
    <row r="235" spans="1:9" s="2" customFormat="1" x14ac:dyDescent="0.25">
      <c r="A235" s="97"/>
      <c r="B235" s="94" t="s">
        <v>68</v>
      </c>
      <c r="C235" s="13" t="s">
        <v>34</v>
      </c>
      <c r="D235" s="28">
        <f>D236</f>
        <v>21924.5</v>
      </c>
      <c r="E235" s="28">
        <f>E236</f>
        <v>21924.5</v>
      </c>
      <c r="F235" s="28">
        <f>F236</f>
        <v>11910.6</v>
      </c>
      <c r="G235" s="28">
        <f>G236</f>
        <v>11910.6</v>
      </c>
      <c r="H235" s="43" t="s">
        <v>16</v>
      </c>
      <c r="I235" s="44">
        <f t="shared" si="56"/>
        <v>0.54330000000000001</v>
      </c>
    </row>
    <row r="236" spans="1:9" s="2" customFormat="1" ht="31.5" x14ac:dyDescent="0.25">
      <c r="A236" s="99"/>
      <c r="B236" s="104"/>
      <c r="C236" s="46" t="s">
        <v>15</v>
      </c>
      <c r="D236" s="47">
        <f>D231+D232+D234+D233</f>
        <v>21924.5</v>
      </c>
      <c r="E236" s="47">
        <f t="shared" ref="E236:G236" si="57">E231+E232+E234+E233</f>
        <v>21924.5</v>
      </c>
      <c r="F236" s="47">
        <f t="shared" si="57"/>
        <v>11910.6</v>
      </c>
      <c r="G236" s="47">
        <f t="shared" si="57"/>
        <v>11910.6</v>
      </c>
      <c r="H236" s="36" t="s">
        <v>16</v>
      </c>
      <c r="I236" s="39">
        <f t="shared" si="56"/>
        <v>0.54330000000000001</v>
      </c>
    </row>
    <row r="237" spans="1:9" s="2" customFormat="1" x14ac:dyDescent="0.25">
      <c r="A237" s="13">
        <v>11</v>
      </c>
      <c r="B237" s="100" t="s">
        <v>144</v>
      </c>
      <c r="C237" s="101"/>
      <c r="D237" s="101"/>
      <c r="E237" s="101"/>
      <c r="F237" s="101"/>
      <c r="G237" s="101"/>
      <c r="H237" s="101"/>
      <c r="I237" s="102"/>
    </row>
    <row r="238" spans="1:9" s="2" customFormat="1" ht="47.25" x14ac:dyDescent="0.25">
      <c r="A238" s="16"/>
      <c r="B238" s="16" t="s">
        <v>145</v>
      </c>
      <c r="C238" s="16" t="s">
        <v>15</v>
      </c>
      <c r="D238" s="16">
        <v>486.2</v>
      </c>
      <c r="E238" s="16">
        <v>486.2</v>
      </c>
      <c r="F238" s="65">
        <v>0</v>
      </c>
      <c r="G238" s="65">
        <v>0</v>
      </c>
      <c r="H238" s="66" t="s">
        <v>16</v>
      </c>
      <c r="I238" s="19">
        <f t="shared" ref="I238:I246" si="58">ROUND(G238/E238,4)</f>
        <v>0</v>
      </c>
    </row>
    <row r="239" spans="1:9" s="2" customFormat="1" ht="63" x14ac:dyDescent="0.25">
      <c r="A239" s="16"/>
      <c r="B239" s="16" t="s">
        <v>301</v>
      </c>
      <c r="C239" s="16" t="s">
        <v>15</v>
      </c>
      <c r="D239" s="65">
        <v>2581</v>
      </c>
      <c r="E239" s="65">
        <v>2581</v>
      </c>
      <c r="F239" s="65">
        <v>912.3</v>
      </c>
      <c r="G239" s="65">
        <v>912.3</v>
      </c>
      <c r="H239" s="66" t="s">
        <v>16</v>
      </c>
      <c r="I239" s="19">
        <f t="shared" si="58"/>
        <v>0.35349999999999998</v>
      </c>
    </row>
    <row r="240" spans="1:9" s="9" customFormat="1" ht="47.25" x14ac:dyDescent="0.25">
      <c r="A240" s="13"/>
      <c r="B240" s="16" t="s">
        <v>146</v>
      </c>
      <c r="C240" s="16" t="s">
        <v>15</v>
      </c>
      <c r="D240" s="17">
        <v>2581</v>
      </c>
      <c r="E240" s="17">
        <v>2581</v>
      </c>
      <c r="F240" s="17">
        <v>912.3</v>
      </c>
      <c r="G240" s="17">
        <v>912.3</v>
      </c>
      <c r="H240" s="66" t="s">
        <v>16</v>
      </c>
      <c r="I240" s="19">
        <f t="shared" si="58"/>
        <v>0.35349999999999998</v>
      </c>
    </row>
    <row r="241" spans="1:9" s="2" customFormat="1" ht="63" x14ac:dyDescent="0.25">
      <c r="A241" s="13"/>
      <c r="B241" s="16" t="s">
        <v>147</v>
      </c>
      <c r="C241" s="16" t="s">
        <v>15</v>
      </c>
      <c r="D241" s="17">
        <v>14749.9</v>
      </c>
      <c r="E241" s="17">
        <v>14749.9</v>
      </c>
      <c r="F241" s="17">
        <v>80</v>
      </c>
      <c r="G241" s="17">
        <v>80</v>
      </c>
      <c r="H241" s="66" t="s">
        <v>16</v>
      </c>
      <c r="I241" s="19">
        <f t="shared" si="58"/>
        <v>5.4000000000000003E-3</v>
      </c>
    </row>
    <row r="242" spans="1:9" s="2" customFormat="1" ht="47.25" x14ac:dyDescent="0.25">
      <c r="A242" s="55"/>
      <c r="B242" s="16" t="s">
        <v>148</v>
      </c>
      <c r="C242" s="21" t="s">
        <v>27</v>
      </c>
      <c r="D242" s="17">
        <v>11276.3</v>
      </c>
      <c r="E242" s="17">
        <v>11276.3</v>
      </c>
      <c r="F242" s="17">
        <v>8501.6</v>
      </c>
      <c r="G242" s="17">
        <v>8501.6</v>
      </c>
      <c r="H242" s="66" t="s">
        <v>16</v>
      </c>
      <c r="I242" s="19">
        <f t="shared" si="58"/>
        <v>0.75390000000000001</v>
      </c>
    </row>
    <row r="243" spans="1:9" s="2" customFormat="1" ht="63" x14ac:dyDescent="0.25">
      <c r="A243" s="67"/>
      <c r="B243" s="16" t="s">
        <v>149</v>
      </c>
      <c r="C243" s="16" t="s">
        <v>15</v>
      </c>
      <c r="D243" s="17">
        <v>4145.2</v>
      </c>
      <c r="E243" s="17">
        <v>4145.2</v>
      </c>
      <c r="F243" s="17">
        <v>2743.9</v>
      </c>
      <c r="G243" s="17">
        <v>2743.9</v>
      </c>
      <c r="H243" s="66" t="s">
        <v>16</v>
      </c>
      <c r="I243" s="19">
        <f t="shared" si="58"/>
        <v>0.66190000000000004</v>
      </c>
    </row>
    <row r="244" spans="1:9" s="2" customFormat="1" x14ac:dyDescent="0.25">
      <c r="A244" s="137"/>
      <c r="B244" s="94" t="s">
        <v>68</v>
      </c>
      <c r="C244" s="13" t="s">
        <v>34</v>
      </c>
      <c r="D244" s="28">
        <f>D245+D246</f>
        <v>33238.6</v>
      </c>
      <c r="E244" s="28">
        <f>E245+E246</f>
        <v>33238.6</v>
      </c>
      <c r="F244" s="28">
        <f>F245+F246</f>
        <v>12237.9</v>
      </c>
      <c r="G244" s="28">
        <f>G245+G246</f>
        <v>12237.9</v>
      </c>
      <c r="H244" s="68" t="s">
        <v>16</v>
      </c>
      <c r="I244" s="44">
        <f t="shared" si="58"/>
        <v>0.36820000000000003</v>
      </c>
    </row>
    <row r="245" spans="1:9" s="2" customFormat="1" ht="31.5" x14ac:dyDescent="0.25">
      <c r="A245" s="138"/>
      <c r="B245" s="116"/>
      <c r="C245" s="46" t="s">
        <v>15</v>
      </c>
      <c r="D245" s="47">
        <f>D240+D243+D238+D241</f>
        <v>21962.3</v>
      </c>
      <c r="E245" s="47">
        <f>E240+E243+E238+E241</f>
        <v>21962.3</v>
      </c>
      <c r="F245" s="47">
        <f>F240+F243+F238+F241+0.1</f>
        <v>3736.2999999999997</v>
      </c>
      <c r="G245" s="47">
        <f>G240+G243+G238+G241+0.1</f>
        <v>3736.2999999999997</v>
      </c>
      <c r="H245" s="69" t="s">
        <v>16</v>
      </c>
      <c r="I245" s="39">
        <f t="shared" si="58"/>
        <v>0.1701</v>
      </c>
    </row>
    <row r="246" spans="1:9" s="2" customFormat="1" ht="47.25" x14ac:dyDescent="0.25">
      <c r="A246" s="139"/>
      <c r="B246" s="117"/>
      <c r="C246" s="16" t="s">
        <v>27</v>
      </c>
      <c r="D246" s="17">
        <f>D242</f>
        <v>11276.3</v>
      </c>
      <c r="E246" s="17">
        <f t="shared" ref="E246:G246" si="59">E242</f>
        <v>11276.3</v>
      </c>
      <c r="F246" s="17">
        <f t="shared" si="59"/>
        <v>8501.6</v>
      </c>
      <c r="G246" s="17">
        <f t="shared" si="59"/>
        <v>8501.6</v>
      </c>
      <c r="H246" s="66" t="s">
        <v>16</v>
      </c>
      <c r="I246" s="19">
        <f t="shared" si="58"/>
        <v>0.75390000000000001</v>
      </c>
    </row>
    <row r="247" spans="1:9" s="2" customFormat="1" x14ac:dyDescent="0.25">
      <c r="A247" s="48">
        <v>12</v>
      </c>
      <c r="B247" s="109" t="s">
        <v>150</v>
      </c>
      <c r="C247" s="110"/>
      <c r="D247" s="110"/>
      <c r="E247" s="110"/>
      <c r="F247" s="110"/>
      <c r="G247" s="110"/>
      <c r="H247" s="110"/>
      <c r="I247" s="111"/>
    </row>
    <row r="248" spans="1:9" s="2" customFormat="1" x14ac:dyDescent="0.25">
      <c r="A248" s="109" t="s">
        <v>151</v>
      </c>
      <c r="B248" s="110"/>
      <c r="C248" s="110"/>
      <c r="D248" s="110"/>
      <c r="E248" s="110"/>
      <c r="F248" s="110"/>
      <c r="G248" s="110"/>
      <c r="H248" s="110"/>
      <c r="I248" s="111"/>
    </row>
    <row r="249" spans="1:9" s="2" customFormat="1" ht="63" x14ac:dyDescent="0.25">
      <c r="A249" s="48"/>
      <c r="B249" s="16" t="s">
        <v>152</v>
      </c>
      <c r="C249" s="16" t="s">
        <v>15</v>
      </c>
      <c r="D249" s="65">
        <f>68.7+47.7+97.6</f>
        <v>214</v>
      </c>
      <c r="E249" s="65">
        <f>68.7+47.7+97.6</f>
        <v>214</v>
      </c>
      <c r="F249" s="65">
        <f>68.1+42+97.6</f>
        <v>207.7</v>
      </c>
      <c r="G249" s="65">
        <f>68.1+42+97.6</f>
        <v>207.7</v>
      </c>
      <c r="H249" s="66" t="s">
        <v>16</v>
      </c>
      <c r="I249" s="19">
        <f t="shared" ref="I249:I251" si="60">ROUND(G249/E249,4)</f>
        <v>0.97060000000000002</v>
      </c>
    </row>
    <row r="250" spans="1:9" s="2" customFormat="1" ht="78.75" x14ac:dyDescent="0.25">
      <c r="A250" s="48"/>
      <c r="B250" s="16" t="s">
        <v>153</v>
      </c>
      <c r="C250" s="16" t="s">
        <v>15</v>
      </c>
      <c r="D250" s="65">
        <f>397+45</f>
        <v>442</v>
      </c>
      <c r="E250" s="65">
        <f>397+45</f>
        <v>442</v>
      </c>
      <c r="F250" s="65">
        <f>168.5+45</f>
        <v>213.5</v>
      </c>
      <c r="G250" s="65">
        <f>168.5+45</f>
        <v>213.5</v>
      </c>
      <c r="H250" s="66" t="s">
        <v>16</v>
      </c>
      <c r="I250" s="19">
        <f t="shared" si="60"/>
        <v>0.48299999999999998</v>
      </c>
    </row>
    <row r="251" spans="1:9" s="2" customFormat="1" ht="63" x14ac:dyDescent="0.25">
      <c r="A251" s="48"/>
      <c r="B251" s="16" t="s">
        <v>154</v>
      </c>
      <c r="C251" s="16" t="s">
        <v>15</v>
      </c>
      <c r="D251" s="65">
        <f>2.7+5</f>
        <v>7.7</v>
      </c>
      <c r="E251" s="65">
        <f>2.7+5</f>
        <v>7.7</v>
      </c>
      <c r="F251" s="65">
        <v>5</v>
      </c>
      <c r="G251" s="65">
        <v>5</v>
      </c>
      <c r="H251" s="66" t="s">
        <v>16</v>
      </c>
      <c r="I251" s="19">
        <f t="shared" si="60"/>
        <v>0.64939999999999998</v>
      </c>
    </row>
    <row r="252" spans="1:9" s="2" customFormat="1" ht="31.5" x14ac:dyDescent="0.25">
      <c r="A252" s="48"/>
      <c r="B252" s="13" t="s">
        <v>33</v>
      </c>
      <c r="C252" s="16" t="s">
        <v>15</v>
      </c>
      <c r="D252" s="28">
        <f>D249+D250+D251</f>
        <v>663.7</v>
      </c>
      <c r="E252" s="28">
        <f>E249+E250+E251</f>
        <v>663.7</v>
      </c>
      <c r="F252" s="28">
        <f>F249+F250+F251</f>
        <v>426.2</v>
      </c>
      <c r="G252" s="28">
        <f>G249+G250+G251</f>
        <v>426.2</v>
      </c>
      <c r="H252" s="66" t="s">
        <v>16</v>
      </c>
      <c r="I252" s="19">
        <f>ROUND(G252/E252,4)</f>
        <v>0.64219999999999999</v>
      </c>
    </row>
    <row r="253" spans="1:9" s="2" customFormat="1" x14ac:dyDescent="0.25">
      <c r="A253" s="109" t="s">
        <v>155</v>
      </c>
      <c r="B253" s="110"/>
      <c r="C253" s="110"/>
      <c r="D253" s="110"/>
      <c r="E253" s="110"/>
      <c r="F253" s="110"/>
      <c r="G253" s="110"/>
      <c r="H253" s="110"/>
      <c r="I253" s="111"/>
    </row>
    <row r="254" spans="1:9" s="2" customFormat="1" ht="78.75" x14ac:dyDescent="0.25">
      <c r="A254" s="48"/>
      <c r="B254" s="16" t="s">
        <v>156</v>
      </c>
      <c r="C254" s="16" t="s">
        <v>15</v>
      </c>
      <c r="D254" s="65">
        <f>358.6+95.4</f>
        <v>454</v>
      </c>
      <c r="E254" s="65">
        <f>358.6+95.4</f>
        <v>454</v>
      </c>
      <c r="F254" s="65">
        <f>326.6+95.4</f>
        <v>422</v>
      </c>
      <c r="G254" s="65">
        <f>326.6+95.4</f>
        <v>422</v>
      </c>
      <c r="H254" s="66" t="s">
        <v>16</v>
      </c>
      <c r="I254" s="19">
        <f>ROUND(G254/E254,4)</f>
        <v>0.92949999999999999</v>
      </c>
    </row>
    <row r="255" spans="1:9" s="2" customFormat="1" ht="47.25" x14ac:dyDescent="0.25">
      <c r="A255" s="48"/>
      <c r="B255" s="16" t="s">
        <v>157</v>
      </c>
      <c r="C255" s="16" t="s">
        <v>15</v>
      </c>
      <c r="D255" s="65">
        <f>1.4</f>
        <v>1.4</v>
      </c>
      <c r="E255" s="65">
        <f>1.4</f>
        <v>1.4</v>
      </c>
      <c r="F255" s="65">
        <v>0</v>
      </c>
      <c r="G255" s="65">
        <v>0</v>
      </c>
      <c r="H255" s="66" t="s">
        <v>16</v>
      </c>
      <c r="I255" s="19">
        <f t="shared" ref="I255:I258" si="61">ROUND(G255/E255,4)</f>
        <v>0</v>
      </c>
    </row>
    <row r="256" spans="1:9" s="2" customFormat="1" ht="31.5" x14ac:dyDescent="0.25">
      <c r="A256" s="48"/>
      <c r="B256" s="16" t="s">
        <v>158</v>
      </c>
      <c r="C256" s="16" t="s">
        <v>15</v>
      </c>
      <c r="D256" s="65">
        <f>20.7</f>
        <v>20.7</v>
      </c>
      <c r="E256" s="65">
        <f>20.7</f>
        <v>20.7</v>
      </c>
      <c r="F256" s="65">
        <f t="shared" ref="F256:G256" si="62">20.7</f>
        <v>20.7</v>
      </c>
      <c r="G256" s="65">
        <f t="shared" si="62"/>
        <v>20.7</v>
      </c>
      <c r="H256" s="66" t="s">
        <v>16</v>
      </c>
      <c r="I256" s="19">
        <f t="shared" si="61"/>
        <v>1</v>
      </c>
    </row>
    <row r="257" spans="1:9" s="2" customFormat="1" ht="63" x14ac:dyDescent="0.25">
      <c r="A257" s="48"/>
      <c r="B257" s="16" t="s">
        <v>159</v>
      </c>
      <c r="C257" s="16" t="s">
        <v>15</v>
      </c>
      <c r="D257" s="65">
        <v>150</v>
      </c>
      <c r="E257" s="65">
        <v>150</v>
      </c>
      <c r="F257" s="65">
        <v>54.1</v>
      </c>
      <c r="G257" s="65">
        <v>54.1</v>
      </c>
      <c r="H257" s="66" t="s">
        <v>16</v>
      </c>
      <c r="I257" s="19">
        <f t="shared" si="61"/>
        <v>0.36070000000000002</v>
      </c>
    </row>
    <row r="258" spans="1:9" s="2" customFormat="1" ht="31.5" x14ac:dyDescent="0.25">
      <c r="A258" s="48"/>
      <c r="B258" s="13" t="s">
        <v>33</v>
      </c>
      <c r="C258" s="13" t="s">
        <v>15</v>
      </c>
      <c r="D258" s="28">
        <f>D254+D255+D256+D257</f>
        <v>626.09999999999991</v>
      </c>
      <c r="E258" s="28">
        <f>E254+E255+E256+E257</f>
        <v>626.09999999999991</v>
      </c>
      <c r="F258" s="28">
        <f>F254+F255+F256+F257</f>
        <v>496.8</v>
      </c>
      <c r="G258" s="28">
        <f>G254+G255+G256+G257</f>
        <v>496.8</v>
      </c>
      <c r="H258" s="66" t="s">
        <v>16</v>
      </c>
      <c r="I258" s="19">
        <f t="shared" si="61"/>
        <v>0.79349999999999998</v>
      </c>
    </row>
    <row r="259" spans="1:9" s="2" customFormat="1" x14ac:dyDescent="0.25">
      <c r="A259" s="109" t="s">
        <v>160</v>
      </c>
      <c r="B259" s="110"/>
      <c r="C259" s="110"/>
      <c r="D259" s="110"/>
      <c r="E259" s="110"/>
      <c r="F259" s="110"/>
      <c r="G259" s="110"/>
      <c r="H259" s="110"/>
      <c r="I259" s="111"/>
    </row>
    <row r="260" spans="1:9" s="2" customFormat="1" ht="78.75" x14ac:dyDescent="0.25">
      <c r="A260" s="48"/>
      <c r="B260" s="16" t="s">
        <v>161</v>
      </c>
      <c r="C260" s="16" t="s">
        <v>15</v>
      </c>
      <c r="D260" s="65">
        <v>20</v>
      </c>
      <c r="E260" s="65">
        <v>20</v>
      </c>
      <c r="F260" s="65">
        <v>20</v>
      </c>
      <c r="G260" s="65">
        <v>20</v>
      </c>
      <c r="H260" s="66" t="s">
        <v>16</v>
      </c>
      <c r="I260" s="19">
        <f>ROUND(G260/E260,4)</f>
        <v>1</v>
      </c>
    </row>
    <row r="261" spans="1:9" s="2" customFormat="1" ht="78.75" x14ac:dyDescent="0.25">
      <c r="A261" s="48"/>
      <c r="B261" s="16" t="s">
        <v>162</v>
      </c>
      <c r="C261" s="16" t="s">
        <v>15</v>
      </c>
      <c r="D261" s="65">
        <v>27.6</v>
      </c>
      <c r="E261" s="65">
        <v>27.6</v>
      </c>
      <c r="F261" s="65">
        <v>0</v>
      </c>
      <c r="G261" s="65">
        <v>0</v>
      </c>
      <c r="H261" s="66" t="s">
        <v>16</v>
      </c>
      <c r="I261" s="19">
        <f t="shared" ref="I261:I263" si="63">ROUND(G261/E261,4)</f>
        <v>0</v>
      </c>
    </row>
    <row r="262" spans="1:9" s="2" customFormat="1" ht="31.5" x14ac:dyDescent="0.25">
      <c r="A262" s="48"/>
      <c r="B262" s="13" t="s">
        <v>33</v>
      </c>
      <c r="C262" s="13" t="s">
        <v>15</v>
      </c>
      <c r="D262" s="28">
        <f>D260+D261</f>
        <v>47.6</v>
      </c>
      <c r="E262" s="28">
        <f>E260+E261</f>
        <v>47.6</v>
      </c>
      <c r="F262" s="28">
        <f>F260+F261</f>
        <v>20</v>
      </c>
      <c r="G262" s="28">
        <f>G260+G261</f>
        <v>20</v>
      </c>
      <c r="H262" s="66" t="s">
        <v>16</v>
      </c>
      <c r="I262" s="19">
        <f t="shared" si="63"/>
        <v>0.42020000000000002</v>
      </c>
    </row>
    <row r="263" spans="1:9" s="2" customFormat="1" ht="31.5" x14ac:dyDescent="0.25">
      <c r="A263" s="48"/>
      <c r="B263" s="13" t="s">
        <v>68</v>
      </c>
      <c r="C263" s="13" t="s">
        <v>15</v>
      </c>
      <c r="D263" s="28">
        <f>D252+D258+D262</f>
        <v>1337.3999999999999</v>
      </c>
      <c r="E263" s="28">
        <f>E252+E258+E262</f>
        <v>1337.3999999999999</v>
      </c>
      <c r="F263" s="28">
        <f>F252+F258+F262</f>
        <v>943</v>
      </c>
      <c r="G263" s="28">
        <f>G252+G258+G262</f>
        <v>943</v>
      </c>
      <c r="H263" s="68" t="s">
        <v>16</v>
      </c>
      <c r="I263" s="44">
        <f t="shared" si="63"/>
        <v>0.70509999999999995</v>
      </c>
    </row>
    <row r="264" spans="1:9" s="2" customFormat="1" x14ac:dyDescent="0.25">
      <c r="A264" s="59" t="s">
        <v>163</v>
      </c>
      <c r="B264" s="109" t="s">
        <v>164</v>
      </c>
      <c r="C264" s="110"/>
      <c r="D264" s="110"/>
      <c r="E264" s="110"/>
      <c r="F264" s="110"/>
      <c r="G264" s="110"/>
      <c r="H264" s="110"/>
      <c r="I264" s="111"/>
    </row>
    <row r="265" spans="1:9" s="2" customFormat="1" x14ac:dyDescent="0.25">
      <c r="A265" s="109" t="s">
        <v>165</v>
      </c>
      <c r="B265" s="110"/>
      <c r="C265" s="110"/>
      <c r="D265" s="110"/>
      <c r="E265" s="110"/>
      <c r="F265" s="110"/>
      <c r="G265" s="110"/>
      <c r="H265" s="110"/>
      <c r="I265" s="111"/>
    </row>
    <row r="266" spans="1:9" s="2" customFormat="1" ht="31.5" x14ac:dyDescent="0.25">
      <c r="A266" s="48"/>
      <c r="B266" s="62" t="s">
        <v>166</v>
      </c>
      <c r="C266" s="16" t="s">
        <v>15</v>
      </c>
      <c r="D266" s="22">
        <v>5583</v>
      </c>
      <c r="E266" s="22">
        <v>5583</v>
      </c>
      <c r="F266" s="22">
        <v>5502.4</v>
      </c>
      <c r="G266" s="22">
        <v>5502.3</v>
      </c>
      <c r="H266" s="66" t="s">
        <v>16</v>
      </c>
      <c r="I266" s="19">
        <f>ROUND(G266/E266,4)</f>
        <v>0.98550000000000004</v>
      </c>
    </row>
    <row r="267" spans="1:9" s="2" customFormat="1" ht="31.5" x14ac:dyDescent="0.25">
      <c r="A267" s="48"/>
      <c r="B267" s="62" t="s">
        <v>167</v>
      </c>
      <c r="C267" s="16" t="s">
        <v>15</v>
      </c>
      <c r="D267" s="22">
        <v>221</v>
      </c>
      <c r="E267" s="22">
        <v>221</v>
      </c>
      <c r="F267" s="22">
        <v>44.8</v>
      </c>
      <c r="G267" s="22">
        <v>44.8</v>
      </c>
      <c r="H267" s="70" t="s">
        <v>16</v>
      </c>
      <c r="I267" s="27">
        <f>ROUND(G267/E267,4)</f>
        <v>0.20269999999999999</v>
      </c>
    </row>
    <row r="268" spans="1:9" s="2" customFormat="1" ht="47.25" x14ac:dyDescent="0.25">
      <c r="A268" s="48"/>
      <c r="B268" s="62" t="s">
        <v>168</v>
      </c>
      <c r="C268" s="16" t="s">
        <v>15</v>
      </c>
      <c r="D268" s="22">
        <v>142898.6</v>
      </c>
      <c r="E268" s="22">
        <v>142898.6</v>
      </c>
      <c r="F268" s="22">
        <v>137722.1</v>
      </c>
      <c r="G268" s="22">
        <v>137712.70000000001</v>
      </c>
      <c r="H268" s="66" t="s">
        <v>16</v>
      </c>
      <c r="I268" s="19">
        <f>ROUND(G268/E268,4)</f>
        <v>0.9637</v>
      </c>
    </row>
    <row r="269" spans="1:9" s="2" customFormat="1" ht="31.5" x14ac:dyDescent="0.25">
      <c r="A269" s="48"/>
      <c r="B269" s="62" t="s">
        <v>169</v>
      </c>
      <c r="C269" s="16" t="s">
        <v>15</v>
      </c>
      <c r="D269" s="22">
        <v>0</v>
      </c>
      <c r="E269" s="22">
        <v>0</v>
      </c>
      <c r="F269" s="22">
        <v>0</v>
      </c>
      <c r="G269" s="22">
        <v>0</v>
      </c>
      <c r="H269" s="70" t="s">
        <v>16</v>
      </c>
      <c r="I269" s="27">
        <v>0</v>
      </c>
    </row>
    <row r="270" spans="1:9" s="2" customFormat="1" ht="78.75" x14ac:dyDescent="0.25">
      <c r="A270" s="48"/>
      <c r="B270" s="62" t="s">
        <v>41</v>
      </c>
      <c r="C270" s="16" t="s">
        <v>15</v>
      </c>
      <c r="D270" s="22">
        <v>1733.5</v>
      </c>
      <c r="E270" s="22">
        <v>1733.5</v>
      </c>
      <c r="F270" s="22">
        <v>1293.5</v>
      </c>
      <c r="G270" s="22">
        <v>1293.5</v>
      </c>
      <c r="H270" s="66" t="s">
        <v>16</v>
      </c>
      <c r="I270" s="19">
        <f t="shared" ref="I270:I293" si="64">ROUND(G270/E270,4)</f>
        <v>0.74619999999999997</v>
      </c>
    </row>
    <row r="271" spans="1:9" s="2" customFormat="1" ht="94.5" x14ac:dyDescent="0.25">
      <c r="A271" s="48"/>
      <c r="B271" s="62" t="s">
        <v>45</v>
      </c>
      <c r="C271" s="16" t="s">
        <v>15</v>
      </c>
      <c r="D271" s="22">
        <v>100</v>
      </c>
      <c r="E271" s="22">
        <v>100</v>
      </c>
      <c r="F271" s="22">
        <v>0</v>
      </c>
      <c r="G271" s="22">
        <v>0</v>
      </c>
      <c r="H271" s="69" t="s">
        <v>16</v>
      </c>
      <c r="I271" s="39">
        <f t="shared" si="64"/>
        <v>0</v>
      </c>
    </row>
    <row r="272" spans="1:9" s="2" customFormat="1" ht="63" x14ac:dyDescent="0.25">
      <c r="A272" s="48"/>
      <c r="B272" s="62" t="s">
        <v>170</v>
      </c>
      <c r="C272" s="16" t="s">
        <v>27</v>
      </c>
      <c r="D272" s="22">
        <v>7</v>
      </c>
      <c r="E272" s="22">
        <v>7</v>
      </c>
      <c r="F272" s="22">
        <v>7</v>
      </c>
      <c r="G272" s="22">
        <v>7</v>
      </c>
      <c r="H272" s="71" t="s">
        <v>16</v>
      </c>
      <c r="I272" s="31">
        <f t="shared" si="64"/>
        <v>1</v>
      </c>
    </row>
    <row r="273" spans="1:9" s="2" customFormat="1" ht="31.5" x14ac:dyDescent="0.25">
      <c r="A273" s="48"/>
      <c r="B273" s="16" t="s">
        <v>171</v>
      </c>
      <c r="C273" s="16" t="s">
        <v>15</v>
      </c>
      <c r="D273" s="17">
        <v>4495.8</v>
      </c>
      <c r="E273" s="17">
        <v>4495.8</v>
      </c>
      <c r="F273" s="17">
        <v>3412.3</v>
      </c>
      <c r="G273" s="17">
        <v>3412.3</v>
      </c>
      <c r="H273" s="70" t="s">
        <v>16</v>
      </c>
      <c r="I273" s="27">
        <f t="shared" si="64"/>
        <v>0.75900000000000001</v>
      </c>
    </row>
    <row r="274" spans="1:9" s="2" customFormat="1" ht="47.25" x14ac:dyDescent="0.25">
      <c r="A274" s="48"/>
      <c r="B274" s="62" t="s">
        <v>172</v>
      </c>
      <c r="C274" s="16" t="s">
        <v>15</v>
      </c>
      <c r="D274" s="22">
        <v>785</v>
      </c>
      <c r="E274" s="22">
        <v>785</v>
      </c>
      <c r="F274" s="22">
        <v>780.2</v>
      </c>
      <c r="G274" s="22">
        <v>780.2</v>
      </c>
      <c r="H274" s="70" t="s">
        <v>16</v>
      </c>
      <c r="I274" s="27">
        <f t="shared" si="64"/>
        <v>0.99390000000000001</v>
      </c>
    </row>
    <row r="275" spans="1:9" s="2" customFormat="1" ht="31.5" x14ac:dyDescent="0.25">
      <c r="A275" s="48"/>
      <c r="B275" s="62" t="s">
        <v>173</v>
      </c>
      <c r="C275" s="16" t="s">
        <v>15</v>
      </c>
      <c r="D275" s="22">
        <v>240</v>
      </c>
      <c r="E275" s="22">
        <v>240</v>
      </c>
      <c r="F275" s="22">
        <v>232.4</v>
      </c>
      <c r="G275" s="22">
        <v>232.4</v>
      </c>
      <c r="H275" s="70" t="s">
        <v>16</v>
      </c>
      <c r="I275" s="27">
        <f t="shared" si="64"/>
        <v>0.96830000000000005</v>
      </c>
    </row>
    <row r="276" spans="1:9" s="2" customFormat="1" ht="126" x14ac:dyDescent="0.25">
      <c r="A276" s="48"/>
      <c r="B276" s="16" t="s">
        <v>174</v>
      </c>
      <c r="C276" s="16" t="s">
        <v>27</v>
      </c>
      <c r="D276" s="17">
        <v>9113.7000000000007</v>
      </c>
      <c r="E276" s="17">
        <v>9113.7000000000007</v>
      </c>
      <c r="F276" s="22">
        <v>9110.6</v>
      </c>
      <c r="G276" s="22">
        <v>9096.4</v>
      </c>
      <c r="H276" s="70" t="s">
        <v>16</v>
      </c>
      <c r="I276" s="27">
        <f t="shared" si="64"/>
        <v>0.99809999999999999</v>
      </c>
    </row>
    <row r="277" spans="1:9" s="2" customFormat="1" ht="126" x14ac:dyDescent="0.25">
      <c r="A277" s="48"/>
      <c r="B277" s="16" t="s">
        <v>175</v>
      </c>
      <c r="C277" s="16" t="s">
        <v>27</v>
      </c>
      <c r="D277" s="17">
        <v>1596.8</v>
      </c>
      <c r="E277" s="17">
        <v>1596.8</v>
      </c>
      <c r="F277" s="22">
        <v>1596.2</v>
      </c>
      <c r="G277" s="22">
        <v>1589.4</v>
      </c>
      <c r="H277" s="66" t="s">
        <v>16</v>
      </c>
      <c r="I277" s="19">
        <f t="shared" si="64"/>
        <v>0.99539999999999995</v>
      </c>
    </row>
    <row r="278" spans="1:9" s="2" customFormat="1" ht="141.75" x14ac:dyDescent="0.25">
      <c r="A278" s="48"/>
      <c r="B278" s="16" t="s">
        <v>176</v>
      </c>
      <c r="C278" s="16" t="s">
        <v>27</v>
      </c>
      <c r="D278" s="17">
        <v>6</v>
      </c>
      <c r="E278" s="17">
        <v>6</v>
      </c>
      <c r="F278" s="22">
        <v>6</v>
      </c>
      <c r="G278" s="22">
        <v>5.9</v>
      </c>
      <c r="H278" s="66" t="s">
        <v>16</v>
      </c>
      <c r="I278" s="39">
        <f t="shared" si="64"/>
        <v>0.98329999999999995</v>
      </c>
    </row>
    <row r="279" spans="1:9" s="2" customFormat="1" ht="47.25" x14ac:dyDescent="0.25">
      <c r="A279" s="48"/>
      <c r="B279" s="16" t="s">
        <v>177</v>
      </c>
      <c r="C279" s="16" t="s">
        <v>27</v>
      </c>
      <c r="D279" s="17">
        <v>942.7</v>
      </c>
      <c r="E279" s="17">
        <v>942.7</v>
      </c>
      <c r="F279" s="22">
        <v>942.7</v>
      </c>
      <c r="G279" s="22">
        <v>942.7</v>
      </c>
      <c r="H279" s="66" t="s">
        <v>16</v>
      </c>
      <c r="I279" s="39">
        <f>ROUND(G279/E279,4)</f>
        <v>1</v>
      </c>
    </row>
    <row r="280" spans="1:9" s="2" customFormat="1" ht="63" x14ac:dyDescent="0.25">
      <c r="A280" s="48"/>
      <c r="B280" s="16" t="s">
        <v>178</v>
      </c>
      <c r="C280" s="16" t="s">
        <v>27</v>
      </c>
      <c r="D280" s="17">
        <v>3037.9</v>
      </c>
      <c r="E280" s="17">
        <v>3037.9</v>
      </c>
      <c r="F280" s="22">
        <v>3032.1</v>
      </c>
      <c r="G280" s="22">
        <v>3025</v>
      </c>
      <c r="H280" s="70" t="s">
        <v>16</v>
      </c>
      <c r="I280" s="31">
        <f t="shared" si="64"/>
        <v>0.99580000000000002</v>
      </c>
    </row>
    <row r="281" spans="1:9" s="2" customFormat="1" ht="47.25" x14ac:dyDescent="0.25">
      <c r="A281" s="48"/>
      <c r="B281" s="16" t="s">
        <v>179</v>
      </c>
      <c r="C281" s="16" t="s">
        <v>27</v>
      </c>
      <c r="D281" s="17">
        <v>3283.4</v>
      </c>
      <c r="E281" s="17">
        <v>3283.4</v>
      </c>
      <c r="F281" s="17">
        <v>3283.4</v>
      </c>
      <c r="G281" s="17">
        <v>3283.4</v>
      </c>
      <c r="H281" s="70" t="s">
        <v>16</v>
      </c>
      <c r="I281" s="27">
        <f t="shared" si="64"/>
        <v>1</v>
      </c>
    </row>
    <row r="282" spans="1:9" s="2" customFormat="1" ht="63" x14ac:dyDescent="0.25">
      <c r="A282" s="48"/>
      <c r="B282" s="62" t="s">
        <v>180</v>
      </c>
      <c r="C282" s="16" t="s">
        <v>15</v>
      </c>
      <c r="D282" s="22">
        <v>791</v>
      </c>
      <c r="E282" s="22">
        <v>791</v>
      </c>
      <c r="F282" s="22">
        <v>0</v>
      </c>
      <c r="G282" s="22">
        <v>0</v>
      </c>
      <c r="H282" s="66" t="s">
        <v>16</v>
      </c>
      <c r="I282" s="19">
        <f t="shared" si="64"/>
        <v>0</v>
      </c>
    </row>
    <row r="283" spans="1:9" s="2" customFormat="1" ht="63" x14ac:dyDescent="0.25">
      <c r="A283" s="48"/>
      <c r="B283" s="62" t="s">
        <v>181</v>
      </c>
      <c r="C283" s="16" t="s">
        <v>15</v>
      </c>
      <c r="D283" s="22">
        <v>568</v>
      </c>
      <c r="E283" s="22">
        <v>568</v>
      </c>
      <c r="F283" s="22">
        <v>0</v>
      </c>
      <c r="G283" s="22">
        <v>0</v>
      </c>
      <c r="H283" s="66" t="s">
        <v>16</v>
      </c>
      <c r="I283" s="19">
        <f t="shared" si="64"/>
        <v>0</v>
      </c>
    </row>
    <row r="284" spans="1:9" s="2" customFormat="1" ht="78.75" x14ac:dyDescent="0.25">
      <c r="A284" s="48"/>
      <c r="B284" s="62" t="s">
        <v>182</v>
      </c>
      <c r="C284" s="16" t="s">
        <v>15</v>
      </c>
      <c r="D284" s="22">
        <v>456.9</v>
      </c>
      <c r="E284" s="22">
        <v>456.9</v>
      </c>
      <c r="F284" s="22">
        <v>0</v>
      </c>
      <c r="G284" s="22">
        <v>0</v>
      </c>
      <c r="H284" s="66" t="s">
        <v>16</v>
      </c>
      <c r="I284" s="19">
        <f t="shared" si="64"/>
        <v>0</v>
      </c>
    </row>
    <row r="285" spans="1:9" s="2" customFormat="1" ht="63" x14ac:dyDescent="0.25">
      <c r="A285" s="48"/>
      <c r="B285" s="62" t="s">
        <v>159</v>
      </c>
      <c r="C285" s="16" t="s">
        <v>15</v>
      </c>
      <c r="D285" s="22">
        <v>442.6</v>
      </c>
      <c r="E285" s="22">
        <v>442.6</v>
      </c>
      <c r="F285" s="22">
        <v>442.6</v>
      </c>
      <c r="G285" s="22">
        <v>442.5</v>
      </c>
      <c r="H285" s="66" t="s">
        <v>16</v>
      </c>
      <c r="I285" s="19">
        <f t="shared" si="64"/>
        <v>0.99980000000000002</v>
      </c>
    </row>
    <row r="286" spans="1:9" s="2" customFormat="1" ht="78.75" x14ac:dyDescent="0.25">
      <c r="A286" s="48"/>
      <c r="B286" s="62" t="s">
        <v>183</v>
      </c>
      <c r="C286" s="16" t="s">
        <v>15</v>
      </c>
      <c r="D286" s="22">
        <v>72.5</v>
      </c>
      <c r="E286" s="22">
        <v>72.5</v>
      </c>
      <c r="F286" s="22">
        <v>72.400000000000006</v>
      </c>
      <c r="G286" s="22">
        <v>72.400000000000006</v>
      </c>
      <c r="H286" s="70" t="s">
        <v>16</v>
      </c>
      <c r="I286" s="27">
        <f t="shared" si="64"/>
        <v>0.99860000000000004</v>
      </c>
    </row>
    <row r="287" spans="1:9" s="2" customFormat="1" ht="63" x14ac:dyDescent="0.25">
      <c r="A287" s="48"/>
      <c r="B287" s="62" t="s">
        <v>184</v>
      </c>
      <c r="C287" s="16" t="s">
        <v>27</v>
      </c>
      <c r="D287" s="22">
        <v>29.1</v>
      </c>
      <c r="E287" s="22">
        <v>29.1</v>
      </c>
      <c r="F287" s="22">
        <v>13.2</v>
      </c>
      <c r="G287" s="22">
        <v>13.2</v>
      </c>
      <c r="H287" s="70" t="s">
        <v>16</v>
      </c>
      <c r="I287" s="27">
        <f t="shared" si="64"/>
        <v>0.4536</v>
      </c>
    </row>
    <row r="288" spans="1:9" s="2" customFormat="1" ht="126" x14ac:dyDescent="0.25">
      <c r="A288" s="48"/>
      <c r="B288" s="62" t="s">
        <v>185</v>
      </c>
      <c r="C288" s="16" t="s">
        <v>27</v>
      </c>
      <c r="D288" s="22">
        <v>14.5</v>
      </c>
      <c r="E288" s="22">
        <v>14.5</v>
      </c>
      <c r="F288" s="22">
        <v>14.5</v>
      </c>
      <c r="G288" s="22">
        <v>14.5</v>
      </c>
      <c r="H288" s="66" t="s">
        <v>16</v>
      </c>
      <c r="I288" s="27">
        <f t="shared" si="64"/>
        <v>1</v>
      </c>
    </row>
    <row r="289" spans="1:9" s="2" customFormat="1" ht="94.5" x14ac:dyDescent="0.25">
      <c r="A289" s="48"/>
      <c r="B289" s="62" t="s">
        <v>186</v>
      </c>
      <c r="C289" s="16" t="s">
        <v>27</v>
      </c>
      <c r="D289" s="22">
        <v>0</v>
      </c>
      <c r="E289" s="22">
        <v>0</v>
      </c>
      <c r="F289" s="22">
        <v>0</v>
      </c>
      <c r="G289" s="22">
        <v>0</v>
      </c>
      <c r="H289" s="66" t="s">
        <v>16</v>
      </c>
      <c r="I289" s="27">
        <v>0</v>
      </c>
    </row>
    <row r="290" spans="1:9" s="2" customFormat="1" ht="63" x14ac:dyDescent="0.25">
      <c r="A290" s="48"/>
      <c r="B290" s="62" t="s">
        <v>187</v>
      </c>
      <c r="C290" s="16" t="s">
        <v>15</v>
      </c>
      <c r="D290" s="22">
        <v>0</v>
      </c>
      <c r="E290" s="22">
        <v>0</v>
      </c>
      <c r="F290" s="22">
        <v>0</v>
      </c>
      <c r="G290" s="22">
        <v>0</v>
      </c>
      <c r="H290" s="66" t="s">
        <v>16</v>
      </c>
      <c r="I290" s="27">
        <v>0</v>
      </c>
    </row>
    <row r="291" spans="1:9" s="2" customFormat="1" ht="126" x14ac:dyDescent="0.25">
      <c r="A291" s="48"/>
      <c r="B291" s="62" t="s">
        <v>188</v>
      </c>
      <c r="C291" s="16" t="s">
        <v>15</v>
      </c>
      <c r="D291" s="22">
        <v>0</v>
      </c>
      <c r="E291" s="22">
        <v>0</v>
      </c>
      <c r="F291" s="22">
        <v>0</v>
      </c>
      <c r="G291" s="22">
        <v>0</v>
      </c>
      <c r="H291" s="66" t="s">
        <v>16</v>
      </c>
      <c r="I291" s="27">
        <v>0</v>
      </c>
    </row>
    <row r="292" spans="1:9" s="2" customFormat="1" ht="47.25" x14ac:dyDescent="0.25">
      <c r="A292" s="48"/>
      <c r="B292" s="62" t="s">
        <v>189</v>
      </c>
      <c r="C292" s="16" t="s">
        <v>15</v>
      </c>
      <c r="D292" s="22">
        <v>0</v>
      </c>
      <c r="E292" s="22">
        <v>0</v>
      </c>
      <c r="F292" s="22">
        <v>0</v>
      </c>
      <c r="G292" s="22">
        <v>0</v>
      </c>
      <c r="H292" s="66" t="s">
        <v>16</v>
      </c>
      <c r="I292" s="27">
        <v>0</v>
      </c>
    </row>
    <row r="293" spans="1:9" s="2" customFormat="1" ht="63" x14ac:dyDescent="0.25">
      <c r="A293" s="48"/>
      <c r="B293" s="62" t="s">
        <v>190</v>
      </c>
      <c r="C293" s="16" t="s">
        <v>191</v>
      </c>
      <c r="D293" s="22">
        <v>1222.5999999999999</v>
      </c>
      <c r="E293" s="22">
        <v>1222.5999999999999</v>
      </c>
      <c r="F293" s="22">
        <v>1222.5999999999999</v>
      </c>
      <c r="G293" s="22">
        <v>1222.5999999999999</v>
      </c>
      <c r="H293" s="66" t="s">
        <v>16</v>
      </c>
      <c r="I293" s="27">
        <f t="shared" si="64"/>
        <v>1</v>
      </c>
    </row>
    <row r="294" spans="1:9" s="2" customFormat="1" ht="78.75" x14ac:dyDescent="0.25">
      <c r="A294" s="48"/>
      <c r="B294" s="62" t="s">
        <v>192</v>
      </c>
      <c r="C294" s="16" t="s">
        <v>191</v>
      </c>
      <c r="D294" s="22">
        <v>0</v>
      </c>
      <c r="E294" s="22">
        <v>0</v>
      </c>
      <c r="F294" s="22">
        <v>0</v>
      </c>
      <c r="G294" s="22">
        <v>0</v>
      </c>
      <c r="H294" s="66" t="s">
        <v>16</v>
      </c>
      <c r="I294" s="27">
        <v>0</v>
      </c>
    </row>
    <row r="295" spans="1:9" s="2" customFormat="1" ht="63" x14ac:dyDescent="0.25">
      <c r="A295" s="48"/>
      <c r="B295" s="62" t="s">
        <v>193</v>
      </c>
      <c r="C295" s="16" t="s">
        <v>191</v>
      </c>
      <c r="D295" s="22">
        <v>0</v>
      </c>
      <c r="E295" s="22">
        <v>0</v>
      </c>
      <c r="F295" s="22">
        <v>0</v>
      </c>
      <c r="G295" s="22">
        <v>0</v>
      </c>
      <c r="H295" s="66" t="s">
        <v>16</v>
      </c>
      <c r="I295" s="27">
        <v>0</v>
      </c>
    </row>
    <row r="296" spans="1:9" s="2" customFormat="1" ht="31.5" x14ac:dyDescent="0.25">
      <c r="A296" s="48"/>
      <c r="B296" s="62" t="s">
        <v>194</v>
      </c>
      <c r="C296" s="16" t="s">
        <v>15</v>
      </c>
      <c r="D296" s="22">
        <v>0</v>
      </c>
      <c r="E296" s="22">
        <v>0</v>
      </c>
      <c r="F296" s="22">
        <v>0</v>
      </c>
      <c r="G296" s="22">
        <v>0</v>
      </c>
      <c r="H296" s="66" t="s">
        <v>16</v>
      </c>
      <c r="I296" s="27">
        <v>0</v>
      </c>
    </row>
    <row r="297" spans="1:9" s="2" customFormat="1" ht="78.75" x14ac:dyDescent="0.25">
      <c r="A297" s="48"/>
      <c r="B297" s="62" t="s">
        <v>195</v>
      </c>
      <c r="C297" s="16" t="s">
        <v>15</v>
      </c>
      <c r="D297" s="22">
        <v>0</v>
      </c>
      <c r="E297" s="22">
        <v>0</v>
      </c>
      <c r="F297" s="22">
        <v>0</v>
      </c>
      <c r="G297" s="22">
        <v>0</v>
      </c>
      <c r="H297" s="66" t="s">
        <v>16</v>
      </c>
      <c r="I297" s="27">
        <v>0</v>
      </c>
    </row>
    <row r="298" spans="1:9" s="2" customFormat="1" ht="94.5" x14ac:dyDescent="0.25">
      <c r="A298" s="48"/>
      <c r="B298" s="62" t="s">
        <v>196</v>
      </c>
      <c r="C298" s="16" t="s">
        <v>27</v>
      </c>
      <c r="D298" s="22">
        <v>0</v>
      </c>
      <c r="E298" s="22">
        <v>0</v>
      </c>
      <c r="F298" s="22">
        <v>0</v>
      </c>
      <c r="G298" s="22">
        <v>0</v>
      </c>
      <c r="H298" s="66" t="s">
        <v>16</v>
      </c>
      <c r="I298" s="27">
        <v>0</v>
      </c>
    </row>
    <row r="299" spans="1:9" s="2" customFormat="1" ht="63" x14ac:dyDescent="0.25">
      <c r="A299" s="48"/>
      <c r="B299" s="62" t="s">
        <v>197</v>
      </c>
      <c r="C299" s="16" t="s">
        <v>15</v>
      </c>
      <c r="D299" s="22">
        <v>10.1</v>
      </c>
      <c r="E299" s="22">
        <v>10.1</v>
      </c>
      <c r="F299" s="22">
        <v>4.3</v>
      </c>
      <c r="G299" s="22">
        <v>4.3</v>
      </c>
      <c r="H299" s="66" t="s">
        <v>16</v>
      </c>
      <c r="I299" s="27">
        <f t="shared" ref="I299:I307" si="65">ROUND(G299/E299,4)</f>
        <v>0.42570000000000002</v>
      </c>
    </row>
    <row r="300" spans="1:9" s="2" customFormat="1" ht="78.75" x14ac:dyDescent="0.25">
      <c r="A300" s="48"/>
      <c r="B300" s="62" t="s">
        <v>198</v>
      </c>
      <c r="C300" s="16" t="s">
        <v>27</v>
      </c>
      <c r="D300" s="22">
        <v>38.4</v>
      </c>
      <c r="E300" s="22">
        <v>38.4</v>
      </c>
      <c r="F300" s="22">
        <v>38.4</v>
      </c>
      <c r="G300" s="22">
        <v>38.4</v>
      </c>
      <c r="H300" s="66" t="s">
        <v>16</v>
      </c>
      <c r="I300" s="27">
        <f t="shared" si="65"/>
        <v>1</v>
      </c>
    </row>
    <row r="301" spans="1:9" s="2" customFormat="1" ht="63" x14ac:dyDescent="0.25">
      <c r="A301" s="48"/>
      <c r="B301" s="62" t="s">
        <v>199</v>
      </c>
      <c r="C301" s="16" t="s">
        <v>15</v>
      </c>
      <c r="D301" s="22">
        <v>3889.4</v>
      </c>
      <c r="E301" s="22">
        <v>3889.4</v>
      </c>
      <c r="F301" s="22">
        <v>3674.6</v>
      </c>
      <c r="G301" s="22">
        <v>3674.6</v>
      </c>
      <c r="H301" s="70" t="s">
        <v>16</v>
      </c>
      <c r="I301" s="27">
        <f t="shared" si="65"/>
        <v>0.94479999999999997</v>
      </c>
    </row>
    <row r="302" spans="1:9" s="2" customFormat="1" ht="126" x14ac:dyDescent="0.25">
      <c r="A302" s="48"/>
      <c r="B302" s="16" t="s">
        <v>200</v>
      </c>
      <c r="C302" s="16" t="s">
        <v>15</v>
      </c>
      <c r="D302" s="17">
        <v>4231.2</v>
      </c>
      <c r="E302" s="17">
        <v>4231.2</v>
      </c>
      <c r="F302" s="17">
        <v>4153.3</v>
      </c>
      <c r="G302" s="17">
        <v>4153.2</v>
      </c>
      <c r="H302" s="66" t="s">
        <v>16</v>
      </c>
      <c r="I302" s="19">
        <f t="shared" si="65"/>
        <v>0.98160000000000003</v>
      </c>
    </row>
    <row r="303" spans="1:9" s="2" customFormat="1" ht="31.5" x14ac:dyDescent="0.25">
      <c r="A303" s="49"/>
      <c r="B303" s="58" t="s">
        <v>201</v>
      </c>
      <c r="C303" s="21" t="s">
        <v>15</v>
      </c>
      <c r="D303" s="51">
        <v>0</v>
      </c>
      <c r="E303" s="51">
        <v>0</v>
      </c>
      <c r="F303" s="51">
        <v>0</v>
      </c>
      <c r="G303" s="51">
        <v>0</v>
      </c>
      <c r="H303" s="70" t="s">
        <v>16</v>
      </c>
      <c r="I303" s="27">
        <v>0</v>
      </c>
    </row>
    <row r="304" spans="1:9" s="2" customFormat="1" x14ac:dyDescent="0.25">
      <c r="A304" s="118"/>
      <c r="B304" s="94" t="s">
        <v>33</v>
      </c>
      <c r="C304" s="13" t="s">
        <v>34</v>
      </c>
      <c r="D304" s="28">
        <f>D305+D306+D307+0.1</f>
        <v>185810.90000000002</v>
      </c>
      <c r="E304" s="28">
        <f>E305+E306+E307+0.1</f>
        <v>185810.90000000002</v>
      </c>
      <c r="F304" s="28">
        <f>F305+F306+F307</f>
        <v>176601.5</v>
      </c>
      <c r="G304" s="28">
        <f>G305+G306+G307-0.1</f>
        <v>176563.8</v>
      </c>
      <c r="H304" s="72" t="s">
        <v>16</v>
      </c>
      <c r="I304" s="34">
        <f t="shared" si="65"/>
        <v>0.95020000000000004</v>
      </c>
    </row>
    <row r="305" spans="1:9" s="2" customFormat="1" ht="31.5" x14ac:dyDescent="0.25">
      <c r="A305" s="98"/>
      <c r="B305" s="112"/>
      <c r="C305" s="16" t="s">
        <v>15</v>
      </c>
      <c r="D305" s="17">
        <f>D303+D302+D301+D299+D297+D296+D292+D291+D290+D286+D285+D283+D282+D275+D274+D273+D271+D270+D269+D268+D267+D266+D284+0.1</f>
        <v>166518.70000000001</v>
      </c>
      <c r="E305" s="17">
        <f>E303+E302+E301+E299+E297+E296+E292+E291+E290+E286+E285+E283+E282+E275+E274+E273+E271+E270+E269+E268+E267+E266+E284+0.1</f>
        <v>166518.70000000001</v>
      </c>
      <c r="F305" s="17">
        <f>F303+F302+F301+F299+F297+F296+F292+F291+F290+F286+F285+F283+F282+F275+F274+F273+F271+F270+F269+F268+F267+F266+F284-0.1</f>
        <v>157334.79999999999</v>
      </c>
      <c r="G305" s="17">
        <f>G303+G302+G301+G299+G297+G296+G292+G291+G290+G286+G285+G283+G282+G275+G274+G273+G271+G270+G269+G268+G267+G266+G284+0.2</f>
        <v>157325.4</v>
      </c>
      <c r="H305" s="70" t="s">
        <v>16</v>
      </c>
      <c r="I305" s="27">
        <f t="shared" si="65"/>
        <v>0.94479999999999997</v>
      </c>
    </row>
    <row r="306" spans="1:9" s="2" customFormat="1" ht="31.5" x14ac:dyDescent="0.25">
      <c r="A306" s="98"/>
      <c r="B306" s="112"/>
      <c r="C306" s="16" t="s">
        <v>191</v>
      </c>
      <c r="D306" s="17">
        <f>D295+D294+D293</f>
        <v>1222.5999999999999</v>
      </c>
      <c r="E306" s="17">
        <f t="shared" ref="E306:G306" si="66">E295+E294+E293</f>
        <v>1222.5999999999999</v>
      </c>
      <c r="F306" s="17">
        <f t="shared" si="66"/>
        <v>1222.5999999999999</v>
      </c>
      <c r="G306" s="17">
        <f t="shared" si="66"/>
        <v>1222.5999999999999</v>
      </c>
      <c r="H306" s="70" t="s">
        <v>16</v>
      </c>
      <c r="I306" s="27">
        <f t="shared" si="65"/>
        <v>1</v>
      </c>
    </row>
    <row r="307" spans="1:9" s="2" customFormat="1" ht="47.25" x14ac:dyDescent="0.25">
      <c r="A307" s="99"/>
      <c r="B307" s="104"/>
      <c r="C307" s="16" t="s">
        <v>27</v>
      </c>
      <c r="D307" s="17">
        <f>D300+D298+D289+D288+D287+D281+D280+D279+D278+D277+D276+D272</f>
        <v>18069.5</v>
      </c>
      <c r="E307" s="17">
        <f t="shared" ref="E307:G307" si="67">E300+E298+E289+E288+E287+E281+E280+E279+E278+E277+E276+E272</f>
        <v>18069.5</v>
      </c>
      <c r="F307" s="17">
        <f t="shared" si="67"/>
        <v>18044.099999999999</v>
      </c>
      <c r="G307" s="17">
        <f t="shared" si="67"/>
        <v>18015.900000000001</v>
      </c>
      <c r="H307" s="66" t="s">
        <v>16</v>
      </c>
      <c r="I307" s="19">
        <f t="shared" si="65"/>
        <v>0.997</v>
      </c>
    </row>
    <row r="308" spans="1:9" s="2" customFormat="1" x14ac:dyDescent="0.25">
      <c r="A308" s="109" t="s">
        <v>202</v>
      </c>
      <c r="B308" s="110"/>
      <c r="C308" s="110"/>
      <c r="D308" s="110"/>
      <c r="E308" s="110"/>
      <c r="F308" s="110"/>
      <c r="G308" s="110"/>
      <c r="H308" s="110"/>
      <c r="I308" s="111"/>
    </row>
    <row r="309" spans="1:9" s="2" customFormat="1" ht="78.75" x14ac:dyDescent="0.25">
      <c r="A309" s="48"/>
      <c r="B309" s="62" t="s">
        <v>41</v>
      </c>
      <c r="C309" s="16" t="s">
        <v>15</v>
      </c>
      <c r="D309" s="17">
        <f>50+1700+1400+100+98.7</f>
        <v>3348.7</v>
      </c>
      <c r="E309" s="17">
        <f>50+1700+1400+100+98.7</f>
        <v>3348.7</v>
      </c>
      <c r="F309" s="17">
        <f>45+1669.1+1124.1+92.6+98.6</f>
        <v>3029.3999999999996</v>
      </c>
      <c r="G309" s="17">
        <f>45+1669.1+1124.1+92.6+98.6</f>
        <v>3029.3999999999996</v>
      </c>
      <c r="H309" s="66" t="s">
        <v>16</v>
      </c>
      <c r="I309" s="19">
        <f>ROUND(G309/E309,4)</f>
        <v>0.90459999999999996</v>
      </c>
    </row>
    <row r="310" spans="1:9" s="2" customFormat="1" ht="47.25" x14ac:dyDescent="0.25">
      <c r="A310" s="48"/>
      <c r="B310" s="16" t="s">
        <v>203</v>
      </c>
      <c r="C310" s="16" t="s">
        <v>15</v>
      </c>
      <c r="D310" s="17">
        <v>786.9</v>
      </c>
      <c r="E310" s="17">
        <v>786.9</v>
      </c>
      <c r="F310" s="17">
        <v>786.9</v>
      </c>
      <c r="G310" s="17">
        <v>786.9</v>
      </c>
      <c r="H310" s="66" t="s">
        <v>16</v>
      </c>
      <c r="I310" s="19">
        <f>ROUND(G310/E310,4)</f>
        <v>1</v>
      </c>
    </row>
    <row r="311" spans="1:9" s="2" customFormat="1" ht="78.75" x14ac:dyDescent="0.25">
      <c r="A311" s="48"/>
      <c r="B311" s="16" t="s">
        <v>41</v>
      </c>
      <c r="C311" s="16" t="s">
        <v>15</v>
      </c>
      <c r="D311" s="17">
        <v>183</v>
      </c>
      <c r="E311" s="17">
        <v>183</v>
      </c>
      <c r="F311" s="17">
        <v>183</v>
      </c>
      <c r="G311" s="17">
        <v>183</v>
      </c>
      <c r="H311" s="66" t="s">
        <v>16</v>
      </c>
      <c r="I311" s="19">
        <f>ROUND(G311/E311,4)</f>
        <v>1</v>
      </c>
    </row>
    <row r="312" spans="1:9" s="2" customFormat="1" ht="31.5" x14ac:dyDescent="0.25">
      <c r="A312" s="48"/>
      <c r="B312" s="16" t="s">
        <v>204</v>
      </c>
      <c r="C312" s="16" t="s">
        <v>15</v>
      </c>
      <c r="D312" s="17">
        <v>5918.8</v>
      </c>
      <c r="E312" s="17">
        <v>5918.8</v>
      </c>
      <c r="F312" s="17">
        <v>5714.6</v>
      </c>
      <c r="G312" s="17">
        <v>5714.5</v>
      </c>
      <c r="H312" s="66" t="s">
        <v>16</v>
      </c>
      <c r="I312" s="19">
        <f t="shared" ref="I312:I354" si="68">ROUND(G312/E312,4)</f>
        <v>0.96550000000000002</v>
      </c>
    </row>
    <row r="313" spans="1:9" s="2" customFormat="1" ht="31.5" x14ac:dyDescent="0.25">
      <c r="A313" s="48"/>
      <c r="B313" s="16" t="s">
        <v>205</v>
      </c>
      <c r="C313" s="16" t="s">
        <v>15</v>
      </c>
      <c r="D313" s="17">
        <v>9460.2000000000007</v>
      </c>
      <c r="E313" s="17">
        <v>9460.2000000000007</v>
      </c>
      <c r="F313" s="17">
        <v>9460.2000000000007</v>
      </c>
      <c r="G313" s="17">
        <v>9460.2000000000007</v>
      </c>
      <c r="H313" s="66" t="s">
        <v>16</v>
      </c>
      <c r="I313" s="19">
        <f t="shared" si="68"/>
        <v>1</v>
      </c>
    </row>
    <row r="314" spans="1:9" s="2" customFormat="1" ht="63" x14ac:dyDescent="0.25">
      <c r="A314" s="48"/>
      <c r="B314" s="16" t="s">
        <v>206</v>
      </c>
      <c r="C314" s="16" t="s">
        <v>15</v>
      </c>
      <c r="D314" s="17">
        <v>84181.5</v>
      </c>
      <c r="E314" s="17">
        <v>84181.5</v>
      </c>
      <c r="F314" s="17">
        <v>81962.600000000006</v>
      </c>
      <c r="G314" s="17">
        <v>81962.600000000006</v>
      </c>
      <c r="H314" s="66" t="s">
        <v>16</v>
      </c>
      <c r="I314" s="19">
        <f t="shared" si="68"/>
        <v>0.97360000000000002</v>
      </c>
    </row>
    <row r="315" spans="1:9" s="2" customFormat="1" ht="47.25" x14ac:dyDescent="0.25">
      <c r="A315" s="48"/>
      <c r="B315" s="16" t="s">
        <v>207</v>
      </c>
      <c r="C315" s="16" t="s">
        <v>15</v>
      </c>
      <c r="D315" s="17">
        <v>126163.2</v>
      </c>
      <c r="E315" s="17">
        <v>126163.2</v>
      </c>
      <c r="F315" s="17">
        <v>118904.8</v>
      </c>
      <c r="G315" s="17">
        <v>118886.9</v>
      </c>
      <c r="H315" s="66" t="s">
        <v>16</v>
      </c>
      <c r="I315" s="19">
        <f t="shared" si="68"/>
        <v>0.94230000000000003</v>
      </c>
    </row>
    <row r="316" spans="1:9" s="2" customFormat="1" ht="157.5" x14ac:dyDescent="0.25">
      <c r="A316" s="48"/>
      <c r="B316" s="16" t="s">
        <v>80</v>
      </c>
      <c r="C316" s="16" t="s">
        <v>27</v>
      </c>
      <c r="D316" s="17">
        <v>213.6</v>
      </c>
      <c r="E316" s="17">
        <v>213.6</v>
      </c>
      <c r="F316" s="17">
        <v>212.5</v>
      </c>
      <c r="G316" s="17">
        <v>212.5</v>
      </c>
      <c r="H316" s="66" t="s">
        <v>16</v>
      </c>
      <c r="I316" s="19">
        <f t="shared" si="68"/>
        <v>0.99490000000000001</v>
      </c>
    </row>
    <row r="317" spans="1:9" s="2" customFormat="1" ht="78.75" x14ac:dyDescent="0.25">
      <c r="A317" s="48"/>
      <c r="B317" s="16" t="s">
        <v>192</v>
      </c>
      <c r="C317" s="16" t="s">
        <v>191</v>
      </c>
      <c r="D317" s="17">
        <v>30</v>
      </c>
      <c r="E317" s="17">
        <v>30</v>
      </c>
      <c r="F317" s="17">
        <v>30</v>
      </c>
      <c r="G317" s="17">
        <v>30</v>
      </c>
      <c r="H317" s="66" t="s">
        <v>16</v>
      </c>
      <c r="I317" s="19">
        <f t="shared" si="68"/>
        <v>1</v>
      </c>
    </row>
    <row r="318" spans="1:9" s="2" customFormat="1" ht="94.5" x14ac:dyDescent="0.25">
      <c r="A318" s="48"/>
      <c r="B318" s="16" t="s">
        <v>208</v>
      </c>
      <c r="C318" s="16" t="s">
        <v>27</v>
      </c>
      <c r="D318" s="17">
        <v>97</v>
      </c>
      <c r="E318" s="17">
        <v>97</v>
      </c>
      <c r="F318" s="17">
        <v>97</v>
      </c>
      <c r="G318" s="17">
        <v>97</v>
      </c>
      <c r="H318" s="66" t="s">
        <v>16</v>
      </c>
      <c r="I318" s="19">
        <f t="shared" si="68"/>
        <v>1</v>
      </c>
    </row>
    <row r="319" spans="1:9" s="2" customFormat="1" ht="63" x14ac:dyDescent="0.25">
      <c r="A319" s="48"/>
      <c r="B319" s="16" t="s">
        <v>302</v>
      </c>
      <c r="C319" s="16" t="s">
        <v>15</v>
      </c>
      <c r="D319" s="17">
        <v>523</v>
      </c>
      <c r="E319" s="17">
        <v>523</v>
      </c>
      <c r="F319" s="17">
        <v>523</v>
      </c>
      <c r="G319" s="17">
        <v>523</v>
      </c>
      <c r="H319" s="66" t="s">
        <v>16</v>
      </c>
      <c r="I319" s="19">
        <f t="shared" si="68"/>
        <v>1</v>
      </c>
    </row>
    <row r="320" spans="1:9" s="2" customFormat="1" ht="31.5" x14ac:dyDescent="0.25">
      <c r="A320" s="48"/>
      <c r="B320" s="16" t="s">
        <v>209</v>
      </c>
      <c r="C320" s="16" t="s">
        <v>15</v>
      </c>
      <c r="D320" s="17">
        <v>19163.900000000001</v>
      </c>
      <c r="E320" s="17">
        <v>19163.900000000001</v>
      </c>
      <c r="F320" s="17">
        <v>18003.7</v>
      </c>
      <c r="G320" s="17">
        <v>18003.400000000001</v>
      </c>
      <c r="H320" s="66" t="s">
        <v>16</v>
      </c>
      <c r="I320" s="19">
        <f t="shared" si="68"/>
        <v>0.93940000000000001</v>
      </c>
    </row>
    <row r="321" spans="1:9" s="2" customFormat="1" ht="31.5" x14ac:dyDescent="0.25">
      <c r="A321" s="48"/>
      <c r="B321" s="16" t="s">
        <v>210</v>
      </c>
      <c r="C321" s="16" t="s">
        <v>191</v>
      </c>
      <c r="D321" s="17">
        <v>3397</v>
      </c>
      <c r="E321" s="17">
        <v>3397</v>
      </c>
      <c r="F321" s="17">
        <v>3397</v>
      </c>
      <c r="G321" s="17">
        <v>3397</v>
      </c>
      <c r="H321" s="66" t="s">
        <v>16</v>
      </c>
      <c r="I321" s="19">
        <f t="shared" si="68"/>
        <v>1</v>
      </c>
    </row>
    <row r="322" spans="1:9" s="2" customFormat="1" ht="47.25" x14ac:dyDescent="0.25">
      <c r="A322" s="48"/>
      <c r="B322" s="16" t="s">
        <v>211</v>
      </c>
      <c r="C322" s="16" t="s">
        <v>15</v>
      </c>
      <c r="D322" s="17">
        <v>4</v>
      </c>
      <c r="E322" s="17">
        <v>4</v>
      </c>
      <c r="F322" s="17">
        <v>0</v>
      </c>
      <c r="G322" s="17">
        <v>0</v>
      </c>
      <c r="H322" s="66" t="s">
        <v>16</v>
      </c>
      <c r="I322" s="19">
        <f t="shared" si="68"/>
        <v>0</v>
      </c>
    </row>
    <row r="323" spans="1:9" s="2" customFormat="1" ht="31.5" x14ac:dyDescent="0.25">
      <c r="A323" s="48"/>
      <c r="B323" s="16" t="s">
        <v>171</v>
      </c>
      <c r="C323" s="16" t="s">
        <v>15</v>
      </c>
      <c r="D323" s="17">
        <f>4920+65</f>
        <v>4985</v>
      </c>
      <c r="E323" s="17">
        <f>4920+65</f>
        <v>4985</v>
      </c>
      <c r="F323" s="17">
        <f>4452+65</f>
        <v>4517</v>
      </c>
      <c r="G323" s="17">
        <f>4433.8+65</f>
        <v>4498.8</v>
      </c>
      <c r="H323" s="66" t="s">
        <v>16</v>
      </c>
      <c r="I323" s="19">
        <f t="shared" si="68"/>
        <v>0.90249999999999997</v>
      </c>
    </row>
    <row r="324" spans="1:9" s="2" customFormat="1" x14ac:dyDescent="0.25">
      <c r="A324" s="118"/>
      <c r="B324" s="94" t="s">
        <v>33</v>
      </c>
      <c r="C324" s="13" t="s">
        <v>34</v>
      </c>
      <c r="D324" s="28">
        <f>D325+D326+D327</f>
        <v>258455.80000000002</v>
      </c>
      <c r="E324" s="28">
        <f t="shared" ref="E324:G324" si="69">E325+E326+E327</f>
        <v>258455.80000000002</v>
      </c>
      <c r="F324" s="28">
        <f t="shared" si="69"/>
        <v>246821.80000000002</v>
      </c>
      <c r="G324" s="28">
        <f t="shared" si="69"/>
        <v>246785.30000000002</v>
      </c>
      <c r="H324" s="66" t="s">
        <v>16</v>
      </c>
      <c r="I324" s="19">
        <f t="shared" si="68"/>
        <v>0.95479999999999998</v>
      </c>
    </row>
    <row r="325" spans="1:9" s="2" customFormat="1" ht="31.5" x14ac:dyDescent="0.25">
      <c r="A325" s="98"/>
      <c r="B325" s="112"/>
      <c r="C325" s="16" t="s">
        <v>15</v>
      </c>
      <c r="D325" s="17">
        <f>D323+D322+D320+D319+D315+D314+D313+D312+D311+D310+D309</f>
        <v>254718.2</v>
      </c>
      <c r="E325" s="17">
        <f t="shared" ref="E325" si="70">E323+E322+E320+E319+E315+E314+E313+E312+E311+E310+E309</f>
        <v>254718.2</v>
      </c>
      <c r="F325" s="17">
        <f>F323+F322+F320+F319+F315+F314+F313+F312+F311+F310+F309+0.1</f>
        <v>243085.30000000002</v>
      </c>
      <c r="G325" s="17">
        <f>G323+G322+G320+G319+G315+G314+G313+G312+G311+G310+G309+0.1</f>
        <v>243048.80000000002</v>
      </c>
      <c r="H325" s="66" t="s">
        <v>16</v>
      </c>
      <c r="I325" s="19">
        <f t="shared" si="68"/>
        <v>0.95420000000000005</v>
      </c>
    </row>
    <row r="326" spans="1:9" s="2" customFormat="1" ht="31.5" x14ac:dyDescent="0.25">
      <c r="A326" s="98"/>
      <c r="B326" s="112"/>
      <c r="C326" s="16" t="s">
        <v>191</v>
      </c>
      <c r="D326" s="17">
        <f>D317+D321</f>
        <v>3427</v>
      </c>
      <c r="E326" s="17">
        <f t="shared" ref="E326:G326" si="71">E317+E321</f>
        <v>3427</v>
      </c>
      <c r="F326" s="17">
        <f t="shared" si="71"/>
        <v>3427</v>
      </c>
      <c r="G326" s="17">
        <f t="shared" si="71"/>
        <v>3427</v>
      </c>
      <c r="H326" s="66" t="s">
        <v>16</v>
      </c>
      <c r="I326" s="19">
        <f t="shared" si="68"/>
        <v>1</v>
      </c>
    </row>
    <row r="327" spans="1:9" s="2" customFormat="1" ht="47.25" x14ac:dyDescent="0.25">
      <c r="A327" s="99"/>
      <c r="B327" s="104"/>
      <c r="C327" s="16" t="s">
        <v>27</v>
      </c>
      <c r="D327" s="17">
        <f>D316+D318</f>
        <v>310.60000000000002</v>
      </c>
      <c r="E327" s="17">
        <f t="shared" ref="E327:G327" si="72">E316+E318</f>
        <v>310.60000000000002</v>
      </c>
      <c r="F327" s="17">
        <f t="shared" si="72"/>
        <v>309.5</v>
      </c>
      <c r="G327" s="17">
        <f t="shared" si="72"/>
        <v>309.5</v>
      </c>
      <c r="H327" s="66" t="s">
        <v>16</v>
      </c>
      <c r="I327" s="19">
        <f t="shared" si="68"/>
        <v>0.99650000000000005</v>
      </c>
    </row>
    <row r="328" spans="1:9" s="2" customFormat="1" x14ac:dyDescent="0.25">
      <c r="A328" s="48"/>
      <c r="B328" s="109" t="s">
        <v>212</v>
      </c>
      <c r="C328" s="110"/>
      <c r="D328" s="110"/>
      <c r="E328" s="110"/>
      <c r="F328" s="110"/>
      <c r="G328" s="110"/>
      <c r="H328" s="110"/>
      <c r="I328" s="111"/>
    </row>
    <row r="329" spans="1:9" s="2" customFormat="1" ht="31.5" x14ac:dyDescent="0.25">
      <c r="A329" s="48"/>
      <c r="B329" s="16" t="s">
        <v>213</v>
      </c>
      <c r="C329" s="16" t="s">
        <v>15</v>
      </c>
      <c r="D329" s="17">
        <v>394.4</v>
      </c>
      <c r="E329" s="17">
        <v>394.4</v>
      </c>
      <c r="F329" s="17">
        <v>125.3</v>
      </c>
      <c r="G329" s="17">
        <v>125.3</v>
      </c>
      <c r="H329" s="66" t="s">
        <v>16</v>
      </c>
      <c r="I329" s="19">
        <f t="shared" si="68"/>
        <v>0.31769999999999998</v>
      </c>
    </row>
    <row r="330" spans="1:9" s="2" customFormat="1" x14ac:dyDescent="0.25">
      <c r="A330" s="118"/>
      <c r="B330" s="94" t="s">
        <v>33</v>
      </c>
      <c r="C330" s="13" t="s">
        <v>34</v>
      </c>
      <c r="D330" s="28">
        <f>D329</f>
        <v>394.4</v>
      </c>
      <c r="E330" s="28">
        <f>E331</f>
        <v>394.4</v>
      </c>
      <c r="F330" s="28">
        <f>F331</f>
        <v>125.3</v>
      </c>
      <c r="G330" s="28">
        <f>G331</f>
        <v>125.3</v>
      </c>
      <c r="H330" s="68" t="s">
        <v>16</v>
      </c>
      <c r="I330" s="44">
        <f t="shared" si="68"/>
        <v>0.31769999999999998</v>
      </c>
    </row>
    <row r="331" spans="1:9" s="2" customFormat="1" ht="31.5" x14ac:dyDescent="0.25">
      <c r="A331" s="99"/>
      <c r="B331" s="104"/>
      <c r="C331" s="16" t="s">
        <v>15</v>
      </c>
      <c r="D331" s="17">
        <f>D329</f>
        <v>394.4</v>
      </c>
      <c r="E331" s="17">
        <f>E329</f>
        <v>394.4</v>
      </c>
      <c r="F331" s="17">
        <f>F329</f>
        <v>125.3</v>
      </c>
      <c r="G331" s="17">
        <f>G329</f>
        <v>125.3</v>
      </c>
      <c r="H331" s="66" t="s">
        <v>16</v>
      </c>
      <c r="I331" s="19">
        <f t="shared" si="68"/>
        <v>0.31769999999999998</v>
      </c>
    </row>
    <row r="332" spans="1:9" s="2" customFormat="1" x14ac:dyDescent="0.25">
      <c r="A332" s="97"/>
      <c r="B332" s="94" t="s">
        <v>68</v>
      </c>
      <c r="C332" s="56" t="s">
        <v>34</v>
      </c>
      <c r="D332" s="57">
        <f>D333+D334+D335+0.1</f>
        <v>444661.1</v>
      </c>
      <c r="E332" s="57">
        <f>E333+E334+E335+0.1</f>
        <v>444661.1</v>
      </c>
      <c r="F332" s="57">
        <f>F333+F334+F335</f>
        <v>423548.6</v>
      </c>
      <c r="G332" s="57">
        <f>G333+G334+G335-0.1</f>
        <v>423474.4</v>
      </c>
      <c r="H332" s="68" t="s">
        <v>16</v>
      </c>
      <c r="I332" s="44">
        <f t="shared" si="68"/>
        <v>0.95240000000000002</v>
      </c>
    </row>
    <row r="333" spans="1:9" s="2" customFormat="1" ht="31.5" x14ac:dyDescent="0.25">
      <c r="A333" s="112"/>
      <c r="B333" s="112"/>
      <c r="C333" s="46" t="s">
        <v>15</v>
      </c>
      <c r="D333" s="47">
        <f>D331+D325+D305</f>
        <v>421631.30000000005</v>
      </c>
      <c r="E333" s="47">
        <f>E331+E325+E305</f>
        <v>421631.30000000005</v>
      </c>
      <c r="F333" s="47">
        <f>F331+F325+F305</f>
        <v>400545.4</v>
      </c>
      <c r="G333" s="47">
        <f>G331+G325+G305</f>
        <v>400499.5</v>
      </c>
      <c r="H333" s="69" t="s">
        <v>16</v>
      </c>
      <c r="I333" s="39">
        <f t="shared" si="68"/>
        <v>0.94989999999999997</v>
      </c>
    </row>
    <row r="334" spans="1:9" s="2" customFormat="1" ht="47.25" x14ac:dyDescent="0.25">
      <c r="A334" s="112"/>
      <c r="B334" s="112"/>
      <c r="C334" s="16" t="s">
        <v>27</v>
      </c>
      <c r="D334" s="17">
        <f>D327+D307</f>
        <v>18380.099999999999</v>
      </c>
      <c r="E334" s="17">
        <f>E327+E307</f>
        <v>18380.099999999999</v>
      </c>
      <c r="F334" s="17">
        <f>F327+F307</f>
        <v>18353.599999999999</v>
      </c>
      <c r="G334" s="17">
        <f>G327+G307</f>
        <v>18325.400000000001</v>
      </c>
      <c r="H334" s="66" t="s">
        <v>16</v>
      </c>
      <c r="I334" s="19">
        <f t="shared" si="68"/>
        <v>0.997</v>
      </c>
    </row>
    <row r="335" spans="1:9" s="4" customFormat="1" ht="31.5" x14ac:dyDescent="0.25">
      <c r="A335" s="141"/>
      <c r="B335" s="141"/>
      <c r="C335" s="16" t="s">
        <v>191</v>
      </c>
      <c r="D335" s="40">
        <f>D326+D306</f>
        <v>4649.6000000000004</v>
      </c>
      <c r="E335" s="40">
        <f>E326+E306</f>
        <v>4649.6000000000004</v>
      </c>
      <c r="F335" s="40">
        <f>F326+F306</f>
        <v>4649.6000000000004</v>
      </c>
      <c r="G335" s="40">
        <f>G326+G306</f>
        <v>4649.6000000000004</v>
      </c>
      <c r="H335" s="66" t="s">
        <v>16</v>
      </c>
      <c r="I335" s="19">
        <f t="shared" si="68"/>
        <v>1</v>
      </c>
    </row>
    <row r="336" spans="1:9" s="4" customFormat="1" x14ac:dyDescent="0.25">
      <c r="A336" s="13">
        <v>14</v>
      </c>
      <c r="B336" s="100" t="s">
        <v>214</v>
      </c>
      <c r="C336" s="101"/>
      <c r="D336" s="101"/>
      <c r="E336" s="101"/>
      <c r="F336" s="101"/>
      <c r="G336" s="101"/>
      <c r="H336" s="101"/>
      <c r="I336" s="102"/>
    </row>
    <row r="337" spans="1:9" s="4" customFormat="1" ht="63" x14ac:dyDescent="0.25">
      <c r="A337" s="55"/>
      <c r="B337" s="16" t="s">
        <v>215</v>
      </c>
      <c r="C337" s="16" t="s">
        <v>15</v>
      </c>
      <c r="D337" s="17">
        <f>192.2+351.3</f>
        <v>543.5</v>
      </c>
      <c r="E337" s="17">
        <f>192.2+351.3</f>
        <v>543.5</v>
      </c>
      <c r="F337" s="17">
        <f>160.2+351.3</f>
        <v>511.5</v>
      </c>
      <c r="G337" s="17">
        <f>160+351.3</f>
        <v>511.3</v>
      </c>
      <c r="H337" s="66" t="s">
        <v>16</v>
      </c>
      <c r="I337" s="19">
        <f t="shared" si="68"/>
        <v>0.94079999999999997</v>
      </c>
    </row>
    <row r="338" spans="1:9" s="4" customFormat="1" ht="47.25" x14ac:dyDescent="0.25">
      <c r="A338" s="55"/>
      <c r="B338" s="16" t="s">
        <v>216</v>
      </c>
      <c r="C338" s="16" t="s">
        <v>15</v>
      </c>
      <c r="D338" s="17">
        <f>13.5+958.1+42.4</f>
        <v>1014</v>
      </c>
      <c r="E338" s="17">
        <f>13.5+958.1+42.4</f>
        <v>1014</v>
      </c>
      <c r="F338" s="17">
        <f>958.1+42.4</f>
        <v>1000.5</v>
      </c>
      <c r="G338" s="17">
        <f>933+42.4</f>
        <v>975.4</v>
      </c>
      <c r="H338" s="66" t="s">
        <v>16</v>
      </c>
      <c r="I338" s="19">
        <f t="shared" si="68"/>
        <v>0.96189999999999998</v>
      </c>
    </row>
    <row r="339" spans="1:9" s="2" customFormat="1" ht="47.25" x14ac:dyDescent="0.25">
      <c r="A339" s="67"/>
      <c r="B339" s="21" t="s">
        <v>217</v>
      </c>
      <c r="C339" s="16" t="s">
        <v>15</v>
      </c>
      <c r="D339" s="17">
        <f>88.2+266+177.7</f>
        <v>531.9</v>
      </c>
      <c r="E339" s="17">
        <f>88.2+266+177.7</f>
        <v>531.9</v>
      </c>
      <c r="F339" s="17">
        <f>88.2+48.2+177.7</f>
        <v>314.10000000000002</v>
      </c>
      <c r="G339" s="17">
        <f>88.2+48.2+177.7</f>
        <v>314.10000000000002</v>
      </c>
      <c r="H339" s="66" t="s">
        <v>16</v>
      </c>
      <c r="I339" s="19">
        <f t="shared" si="68"/>
        <v>0.59050000000000002</v>
      </c>
    </row>
    <row r="340" spans="1:9" s="2" customFormat="1" ht="78.75" x14ac:dyDescent="0.25">
      <c r="A340" s="67"/>
      <c r="B340" s="21" t="s">
        <v>218</v>
      </c>
      <c r="C340" s="16" t="s">
        <v>15</v>
      </c>
      <c r="D340" s="17">
        <f>13.5+12</f>
        <v>25.5</v>
      </c>
      <c r="E340" s="17">
        <f>13.5+12</f>
        <v>25.5</v>
      </c>
      <c r="F340" s="17">
        <v>12</v>
      </c>
      <c r="G340" s="17">
        <v>12</v>
      </c>
      <c r="H340" s="66" t="s">
        <v>16</v>
      </c>
      <c r="I340" s="19">
        <f t="shared" si="68"/>
        <v>0.47060000000000002</v>
      </c>
    </row>
    <row r="341" spans="1:9" s="2" customFormat="1" ht="47.25" x14ac:dyDescent="0.25">
      <c r="A341" s="67"/>
      <c r="B341" s="21" t="s">
        <v>219</v>
      </c>
      <c r="C341" s="16" t="s">
        <v>15</v>
      </c>
      <c r="D341" s="17">
        <v>60</v>
      </c>
      <c r="E341" s="17">
        <v>60</v>
      </c>
      <c r="F341" s="17">
        <v>60</v>
      </c>
      <c r="G341" s="17">
        <v>60</v>
      </c>
      <c r="H341" s="66" t="s">
        <v>16</v>
      </c>
      <c r="I341" s="19">
        <f t="shared" si="68"/>
        <v>1</v>
      </c>
    </row>
    <row r="342" spans="1:9" s="2" customFormat="1" ht="94.5" x14ac:dyDescent="0.25">
      <c r="A342" s="67"/>
      <c r="B342" s="21" t="s">
        <v>220</v>
      </c>
      <c r="C342" s="16" t="s">
        <v>27</v>
      </c>
      <c r="D342" s="17">
        <v>794.1</v>
      </c>
      <c r="E342" s="17">
        <v>794.1</v>
      </c>
      <c r="F342" s="17">
        <v>794.1</v>
      </c>
      <c r="G342" s="17">
        <v>794.1</v>
      </c>
      <c r="H342" s="66" t="s">
        <v>16</v>
      </c>
      <c r="I342" s="19">
        <f t="shared" si="68"/>
        <v>1</v>
      </c>
    </row>
    <row r="343" spans="1:9" s="2" customFormat="1" ht="94.5" x14ac:dyDescent="0.25">
      <c r="A343" s="67"/>
      <c r="B343" s="21" t="s">
        <v>221</v>
      </c>
      <c r="C343" s="16" t="s">
        <v>15</v>
      </c>
      <c r="D343" s="17">
        <v>256.3</v>
      </c>
      <c r="E343" s="17">
        <v>256.3</v>
      </c>
      <c r="F343" s="17">
        <v>256.3</v>
      </c>
      <c r="G343" s="17">
        <v>256.3</v>
      </c>
      <c r="H343" s="66" t="s">
        <v>16</v>
      </c>
      <c r="I343" s="19">
        <f t="shared" si="68"/>
        <v>1</v>
      </c>
    </row>
    <row r="344" spans="1:9" s="2" customFormat="1" ht="94.5" x14ac:dyDescent="0.25">
      <c r="A344" s="67"/>
      <c r="B344" s="21" t="s">
        <v>222</v>
      </c>
      <c r="C344" s="16" t="s">
        <v>27</v>
      </c>
      <c r="D344" s="17">
        <v>3427.9</v>
      </c>
      <c r="E344" s="17">
        <v>3427.9</v>
      </c>
      <c r="F344" s="17">
        <v>3338</v>
      </c>
      <c r="G344" s="17">
        <v>3338</v>
      </c>
      <c r="H344" s="66" t="s">
        <v>16</v>
      </c>
      <c r="I344" s="19">
        <f t="shared" si="68"/>
        <v>0.9738</v>
      </c>
    </row>
    <row r="345" spans="1:9" s="2" customFormat="1" ht="126" x14ac:dyDescent="0.25">
      <c r="A345" s="67"/>
      <c r="B345" s="21" t="s">
        <v>223</v>
      </c>
      <c r="C345" s="16" t="s">
        <v>15</v>
      </c>
      <c r="D345" s="17">
        <v>2924.7</v>
      </c>
      <c r="E345" s="17">
        <v>2924.7</v>
      </c>
      <c r="F345" s="17">
        <v>2425.6</v>
      </c>
      <c r="G345" s="17">
        <v>2425.6</v>
      </c>
      <c r="H345" s="66" t="s">
        <v>16</v>
      </c>
      <c r="I345" s="19">
        <f t="shared" si="68"/>
        <v>0.82940000000000003</v>
      </c>
    </row>
    <row r="346" spans="1:9" s="2" customFormat="1" ht="47.25" x14ac:dyDescent="0.25">
      <c r="A346" s="67"/>
      <c r="B346" s="21" t="s">
        <v>224</v>
      </c>
      <c r="C346" s="16" t="s">
        <v>27</v>
      </c>
      <c r="D346" s="17">
        <v>129044.3</v>
      </c>
      <c r="E346" s="17">
        <v>129044.3</v>
      </c>
      <c r="F346" s="17">
        <v>129044.3</v>
      </c>
      <c r="G346" s="17">
        <v>129044.3</v>
      </c>
      <c r="H346" s="66" t="s">
        <v>16</v>
      </c>
      <c r="I346" s="19">
        <f t="shared" si="68"/>
        <v>1</v>
      </c>
    </row>
    <row r="347" spans="1:9" s="2" customFormat="1" ht="31.5" x14ac:dyDescent="0.25">
      <c r="A347" s="142"/>
      <c r="B347" s="103" t="s">
        <v>282</v>
      </c>
      <c r="C347" s="16" t="s">
        <v>15</v>
      </c>
      <c r="D347" s="17">
        <v>150</v>
      </c>
      <c r="E347" s="17">
        <v>150</v>
      </c>
      <c r="F347" s="17">
        <v>150</v>
      </c>
      <c r="G347" s="17">
        <v>150</v>
      </c>
      <c r="H347" s="66" t="s">
        <v>16</v>
      </c>
      <c r="I347" s="19">
        <f t="shared" si="68"/>
        <v>1</v>
      </c>
    </row>
    <row r="348" spans="1:9" s="2" customFormat="1" ht="31.5" x14ac:dyDescent="0.25">
      <c r="A348" s="143"/>
      <c r="B348" s="104"/>
      <c r="C348" s="16" t="s">
        <v>15</v>
      </c>
      <c r="D348" s="17">
        <v>300</v>
      </c>
      <c r="E348" s="17">
        <v>300</v>
      </c>
      <c r="F348" s="17">
        <v>300</v>
      </c>
      <c r="G348" s="17">
        <v>300</v>
      </c>
      <c r="H348" s="66" t="s">
        <v>16</v>
      </c>
      <c r="I348" s="19">
        <f t="shared" si="68"/>
        <v>1</v>
      </c>
    </row>
    <row r="349" spans="1:9" s="2" customFormat="1" ht="126" x14ac:dyDescent="0.25">
      <c r="A349" s="67"/>
      <c r="B349" s="21" t="s">
        <v>283</v>
      </c>
      <c r="C349" s="16" t="s">
        <v>27</v>
      </c>
      <c r="D349" s="17">
        <v>1400</v>
      </c>
      <c r="E349" s="17">
        <v>1400</v>
      </c>
      <c r="F349" s="17">
        <v>1400</v>
      </c>
      <c r="G349" s="17">
        <v>1400</v>
      </c>
      <c r="H349" s="66" t="s">
        <v>16</v>
      </c>
      <c r="I349" s="19">
        <f t="shared" si="68"/>
        <v>1</v>
      </c>
    </row>
    <row r="350" spans="1:9" s="2" customFormat="1" ht="141.75" x14ac:dyDescent="0.25">
      <c r="A350" s="67"/>
      <c r="B350" s="21" t="s">
        <v>284</v>
      </c>
      <c r="C350" s="16" t="s">
        <v>15</v>
      </c>
      <c r="D350" s="17">
        <v>451.9</v>
      </c>
      <c r="E350" s="17">
        <v>451.9</v>
      </c>
      <c r="F350" s="17">
        <v>451.9</v>
      </c>
      <c r="G350" s="17">
        <v>451.9</v>
      </c>
      <c r="H350" s="66" t="s">
        <v>16</v>
      </c>
      <c r="I350" s="19">
        <f t="shared" si="68"/>
        <v>1</v>
      </c>
    </row>
    <row r="351" spans="1:9" s="2" customFormat="1" ht="31.5" x14ac:dyDescent="0.25">
      <c r="A351" s="67"/>
      <c r="B351" s="21" t="s">
        <v>303</v>
      </c>
      <c r="C351" s="16" t="s">
        <v>15</v>
      </c>
      <c r="D351" s="17">
        <v>1290</v>
      </c>
      <c r="E351" s="17">
        <v>1290</v>
      </c>
      <c r="F351" s="17">
        <v>903</v>
      </c>
      <c r="G351" s="17">
        <v>903</v>
      </c>
      <c r="H351" s="66" t="s">
        <v>16</v>
      </c>
      <c r="I351" s="19">
        <f t="shared" ref="I351" si="73">ROUND(G351/E351,4)</f>
        <v>0.7</v>
      </c>
    </row>
    <row r="352" spans="1:9" s="2" customFormat="1" x14ac:dyDescent="0.25">
      <c r="A352" s="137"/>
      <c r="B352" s="94" t="s">
        <v>68</v>
      </c>
      <c r="C352" s="13" t="s">
        <v>34</v>
      </c>
      <c r="D352" s="28">
        <f>D353+D354</f>
        <v>142214</v>
      </c>
      <c r="E352" s="28">
        <f>E353+E354</f>
        <v>142214</v>
      </c>
      <c r="F352" s="28">
        <f t="shared" ref="F352:G352" si="74">F353+F354</f>
        <v>140961.19999999998</v>
      </c>
      <c r="G352" s="28">
        <f t="shared" si="74"/>
        <v>140936</v>
      </c>
      <c r="H352" s="68" t="s">
        <v>16</v>
      </c>
      <c r="I352" s="44">
        <f t="shared" si="68"/>
        <v>0.99099999999999999</v>
      </c>
    </row>
    <row r="353" spans="1:9" s="2" customFormat="1" ht="31.5" x14ac:dyDescent="0.25">
      <c r="A353" s="138"/>
      <c r="B353" s="116"/>
      <c r="C353" s="46" t="s">
        <v>15</v>
      </c>
      <c r="D353" s="47">
        <f>D337+D338+D339+D340+D341+D343+D345+D347+D348+D350+D351-0.1</f>
        <v>7547.6999999999989</v>
      </c>
      <c r="E353" s="47">
        <f t="shared" ref="E353:F353" si="75">E337+E338+E339+E340+E341+E343+E345+E347+E348+E350+E351-0.1</f>
        <v>7547.6999999999989</v>
      </c>
      <c r="F353" s="47">
        <f t="shared" si="75"/>
        <v>6384.7999999999993</v>
      </c>
      <c r="G353" s="47">
        <f>G337+G338+G339+G340+G341+G343+G345+G347+G348+G350+G351</f>
        <v>6359.6</v>
      </c>
      <c r="H353" s="69" t="s">
        <v>16</v>
      </c>
      <c r="I353" s="39">
        <f t="shared" si="68"/>
        <v>0.84260000000000002</v>
      </c>
    </row>
    <row r="354" spans="1:9" s="2" customFormat="1" ht="47.25" x14ac:dyDescent="0.25">
      <c r="A354" s="73"/>
      <c r="B354" s="117"/>
      <c r="C354" s="16" t="s">
        <v>27</v>
      </c>
      <c r="D354" s="17">
        <f>D342+D344+D346+D349</f>
        <v>134666.29999999999</v>
      </c>
      <c r="E354" s="17">
        <f t="shared" ref="E354:G354" si="76">E342+E344+E346+E349</f>
        <v>134666.29999999999</v>
      </c>
      <c r="F354" s="17">
        <f t="shared" si="76"/>
        <v>134576.4</v>
      </c>
      <c r="G354" s="17">
        <f t="shared" si="76"/>
        <v>134576.4</v>
      </c>
      <c r="H354" s="66" t="s">
        <v>16</v>
      </c>
      <c r="I354" s="19">
        <f t="shared" si="68"/>
        <v>0.99929999999999997</v>
      </c>
    </row>
    <row r="355" spans="1:9" s="2" customFormat="1" x14ac:dyDescent="0.25">
      <c r="A355" s="13">
        <v>16</v>
      </c>
      <c r="B355" s="100" t="s">
        <v>225</v>
      </c>
      <c r="C355" s="101"/>
      <c r="D355" s="101"/>
      <c r="E355" s="101"/>
      <c r="F355" s="101"/>
      <c r="G355" s="101"/>
      <c r="H355" s="101"/>
      <c r="I355" s="102"/>
    </row>
    <row r="356" spans="1:9" s="2" customFormat="1" x14ac:dyDescent="0.25">
      <c r="A356" s="109" t="s">
        <v>226</v>
      </c>
      <c r="B356" s="110"/>
      <c r="C356" s="110"/>
      <c r="D356" s="110"/>
      <c r="E356" s="110"/>
      <c r="F356" s="110"/>
      <c r="G356" s="110"/>
      <c r="H356" s="110"/>
      <c r="I356" s="111"/>
    </row>
    <row r="357" spans="1:9" s="2" customFormat="1" ht="63" x14ac:dyDescent="0.25">
      <c r="A357" s="59"/>
      <c r="B357" s="60" t="s">
        <v>227</v>
      </c>
      <c r="C357" s="16" t="s">
        <v>15</v>
      </c>
      <c r="D357" s="74">
        <v>3217</v>
      </c>
      <c r="E357" s="75">
        <v>3217</v>
      </c>
      <c r="F357" s="74">
        <v>2151.3000000000002</v>
      </c>
      <c r="G357" s="74">
        <v>2151.3000000000002</v>
      </c>
      <c r="H357" s="66" t="s">
        <v>16</v>
      </c>
      <c r="I357" s="19">
        <f t="shared" ref="I357:I381" si="77">ROUND(G357/E357,4)</f>
        <v>0.66869999999999996</v>
      </c>
    </row>
    <row r="358" spans="1:9" s="2" customFormat="1" ht="63" x14ac:dyDescent="0.25">
      <c r="A358" s="48"/>
      <c r="B358" s="62" t="s">
        <v>228</v>
      </c>
      <c r="C358" s="16" t="s">
        <v>15</v>
      </c>
      <c r="D358" s="74">
        <v>6900</v>
      </c>
      <c r="E358" s="74">
        <v>6900</v>
      </c>
      <c r="F358" s="74">
        <v>4065.3</v>
      </c>
      <c r="G358" s="74">
        <v>4065.3</v>
      </c>
      <c r="H358" s="66" t="s">
        <v>16</v>
      </c>
      <c r="I358" s="19">
        <f t="shared" ref="I358:I359" si="78">ROUND(G358/E358,4)</f>
        <v>0.58919999999999995</v>
      </c>
    </row>
    <row r="359" spans="1:9" s="2" customFormat="1" ht="63" x14ac:dyDescent="0.25">
      <c r="A359" s="48"/>
      <c r="B359" s="62" t="s">
        <v>229</v>
      </c>
      <c r="C359" s="16" t="s">
        <v>15</v>
      </c>
      <c r="D359" s="74">
        <v>464</v>
      </c>
      <c r="E359" s="74">
        <v>464</v>
      </c>
      <c r="F359" s="74">
        <v>464</v>
      </c>
      <c r="G359" s="74">
        <v>464</v>
      </c>
      <c r="H359" s="66" t="s">
        <v>16</v>
      </c>
      <c r="I359" s="19">
        <f t="shared" si="78"/>
        <v>1</v>
      </c>
    </row>
    <row r="360" spans="1:9" s="2" customFormat="1" ht="63" x14ac:dyDescent="0.25">
      <c r="A360" s="59"/>
      <c r="B360" s="60" t="s">
        <v>230</v>
      </c>
      <c r="C360" s="16" t="s">
        <v>15</v>
      </c>
      <c r="D360" s="74">
        <v>700</v>
      </c>
      <c r="E360" s="75">
        <v>700</v>
      </c>
      <c r="F360" s="74">
        <v>510</v>
      </c>
      <c r="G360" s="74">
        <v>510</v>
      </c>
      <c r="H360" s="66" t="s">
        <v>16</v>
      </c>
      <c r="I360" s="19">
        <f t="shared" si="77"/>
        <v>0.72860000000000003</v>
      </c>
    </row>
    <row r="361" spans="1:9" s="2" customFormat="1" ht="31.5" x14ac:dyDescent="0.25">
      <c r="A361" s="59"/>
      <c r="B361" s="60" t="s">
        <v>231</v>
      </c>
      <c r="C361" s="16" t="s">
        <v>15</v>
      </c>
      <c r="D361" s="74">
        <v>1602.9</v>
      </c>
      <c r="E361" s="75">
        <v>1602.9</v>
      </c>
      <c r="F361" s="74">
        <v>804.7</v>
      </c>
      <c r="G361" s="74">
        <v>804.7</v>
      </c>
      <c r="H361" s="66" t="s">
        <v>16</v>
      </c>
      <c r="I361" s="19">
        <f t="shared" si="77"/>
        <v>0.502</v>
      </c>
    </row>
    <row r="362" spans="1:9" s="2" customFormat="1" ht="63" x14ac:dyDescent="0.25">
      <c r="A362" s="59"/>
      <c r="B362" s="60" t="s">
        <v>232</v>
      </c>
      <c r="C362" s="16" t="s">
        <v>27</v>
      </c>
      <c r="D362" s="74">
        <v>1368.3</v>
      </c>
      <c r="E362" s="74">
        <v>1368.3</v>
      </c>
      <c r="F362" s="74">
        <v>1368.3</v>
      </c>
      <c r="G362" s="74">
        <v>1368.3</v>
      </c>
      <c r="H362" s="66" t="s">
        <v>16</v>
      </c>
      <c r="I362" s="19">
        <f t="shared" si="77"/>
        <v>1</v>
      </c>
    </row>
    <row r="363" spans="1:9" s="2" customFormat="1" ht="47.25" x14ac:dyDescent="0.25">
      <c r="A363" s="59"/>
      <c r="B363" s="60" t="s">
        <v>233</v>
      </c>
      <c r="C363" s="16" t="s">
        <v>15</v>
      </c>
      <c r="D363" s="74">
        <v>2146</v>
      </c>
      <c r="E363" s="74">
        <v>2146</v>
      </c>
      <c r="F363" s="74">
        <v>2146</v>
      </c>
      <c r="G363" s="74">
        <v>2146</v>
      </c>
      <c r="H363" s="66" t="s">
        <v>16</v>
      </c>
      <c r="I363" s="19">
        <f t="shared" si="77"/>
        <v>1</v>
      </c>
    </row>
    <row r="364" spans="1:9" s="2" customFormat="1" ht="47.25" x14ac:dyDescent="0.25">
      <c r="A364" s="48"/>
      <c r="B364" s="76" t="s">
        <v>234</v>
      </c>
      <c r="C364" s="16" t="s">
        <v>15</v>
      </c>
      <c r="D364" s="74">
        <v>377</v>
      </c>
      <c r="E364" s="74">
        <v>377</v>
      </c>
      <c r="F364" s="75">
        <v>59.2</v>
      </c>
      <c r="G364" s="74">
        <v>59.2</v>
      </c>
      <c r="H364" s="66" t="s">
        <v>16</v>
      </c>
      <c r="I364" s="19">
        <f t="shared" si="77"/>
        <v>0.157</v>
      </c>
    </row>
    <row r="365" spans="1:9" s="2" customFormat="1" ht="63" x14ac:dyDescent="0.25">
      <c r="A365" s="48"/>
      <c r="B365" s="62" t="s">
        <v>235</v>
      </c>
      <c r="C365" s="16" t="s">
        <v>15</v>
      </c>
      <c r="D365" s="74">
        <v>1465.1</v>
      </c>
      <c r="E365" s="74">
        <v>1465.1</v>
      </c>
      <c r="F365" s="74">
        <v>1233.0999999999999</v>
      </c>
      <c r="G365" s="74">
        <v>1233.0999999999999</v>
      </c>
      <c r="H365" s="66" t="s">
        <v>16</v>
      </c>
      <c r="I365" s="19">
        <f t="shared" si="77"/>
        <v>0.84160000000000001</v>
      </c>
    </row>
    <row r="366" spans="1:9" s="2" customFormat="1" ht="63" x14ac:dyDescent="0.25">
      <c r="A366" s="49"/>
      <c r="B366" s="77" t="s">
        <v>236</v>
      </c>
      <c r="C366" s="16" t="s">
        <v>15</v>
      </c>
      <c r="D366" s="74">
        <v>1540</v>
      </c>
      <c r="E366" s="75">
        <v>1540</v>
      </c>
      <c r="F366" s="74">
        <v>1300.8</v>
      </c>
      <c r="G366" s="74">
        <v>1300.8</v>
      </c>
      <c r="H366" s="66" t="s">
        <v>16</v>
      </c>
      <c r="I366" s="19">
        <f t="shared" si="77"/>
        <v>0.84470000000000001</v>
      </c>
    </row>
    <row r="367" spans="1:9" s="2" customFormat="1" ht="126" x14ac:dyDescent="0.25">
      <c r="A367" s="49"/>
      <c r="B367" s="77" t="s">
        <v>237</v>
      </c>
      <c r="C367" s="16" t="s">
        <v>27</v>
      </c>
      <c r="D367" s="78">
        <v>4600</v>
      </c>
      <c r="E367" s="78">
        <v>4600</v>
      </c>
      <c r="F367" s="78">
        <v>4600</v>
      </c>
      <c r="G367" s="78">
        <v>4600</v>
      </c>
      <c r="H367" s="66" t="s">
        <v>16</v>
      </c>
      <c r="I367" s="19">
        <f t="shared" si="77"/>
        <v>1</v>
      </c>
    </row>
    <row r="368" spans="1:9" s="2" customFormat="1" ht="94.5" x14ac:dyDescent="0.25">
      <c r="A368" s="49"/>
      <c r="B368" s="77" t="s">
        <v>238</v>
      </c>
      <c r="C368" s="16" t="s">
        <v>27</v>
      </c>
      <c r="D368" s="78">
        <v>2500</v>
      </c>
      <c r="E368" s="78">
        <v>2500</v>
      </c>
      <c r="F368" s="78">
        <v>2500</v>
      </c>
      <c r="G368" s="78">
        <v>2500</v>
      </c>
      <c r="H368" s="66" t="s">
        <v>16</v>
      </c>
      <c r="I368" s="19">
        <f t="shared" si="77"/>
        <v>1</v>
      </c>
    </row>
    <row r="369" spans="1:9" s="2" customFormat="1" ht="126" x14ac:dyDescent="0.25">
      <c r="A369" s="49"/>
      <c r="B369" s="77" t="s">
        <v>239</v>
      </c>
      <c r="C369" s="16" t="s">
        <v>27</v>
      </c>
      <c r="D369" s="78">
        <v>400</v>
      </c>
      <c r="E369" s="78">
        <v>400</v>
      </c>
      <c r="F369" s="78">
        <v>400</v>
      </c>
      <c r="G369" s="78">
        <v>400</v>
      </c>
      <c r="H369" s="66" t="s">
        <v>16</v>
      </c>
      <c r="I369" s="19">
        <f t="shared" si="77"/>
        <v>1</v>
      </c>
    </row>
    <row r="370" spans="1:9" s="2" customFormat="1" ht="126" x14ac:dyDescent="0.25">
      <c r="A370" s="49"/>
      <c r="B370" s="77" t="s">
        <v>240</v>
      </c>
      <c r="C370" s="16" t="s">
        <v>27</v>
      </c>
      <c r="D370" s="78">
        <v>600</v>
      </c>
      <c r="E370" s="78">
        <v>600</v>
      </c>
      <c r="F370" s="78">
        <v>600</v>
      </c>
      <c r="G370" s="78">
        <v>600</v>
      </c>
      <c r="H370" s="66" t="s">
        <v>16</v>
      </c>
      <c r="I370" s="19">
        <f t="shared" si="77"/>
        <v>1</v>
      </c>
    </row>
    <row r="371" spans="1:9" s="2" customFormat="1" ht="110.25" x14ac:dyDescent="0.25">
      <c r="A371" s="49"/>
      <c r="B371" s="77" t="s">
        <v>241</v>
      </c>
      <c r="C371" s="16" t="s">
        <v>27</v>
      </c>
      <c r="D371" s="78">
        <v>900</v>
      </c>
      <c r="E371" s="78">
        <v>900</v>
      </c>
      <c r="F371" s="78">
        <v>900</v>
      </c>
      <c r="G371" s="78">
        <v>900</v>
      </c>
      <c r="H371" s="66" t="s">
        <v>16</v>
      </c>
      <c r="I371" s="19">
        <f t="shared" si="77"/>
        <v>1</v>
      </c>
    </row>
    <row r="372" spans="1:9" s="2" customFormat="1" ht="94.5" x14ac:dyDescent="0.25">
      <c r="A372" s="49"/>
      <c r="B372" s="77" t="s">
        <v>242</v>
      </c>
      <c r="C372" s="16" t="s">
        <v>15</v>
      </c>
      <c r="D372" s="79">
        <v>2086.8000000000002</v>
      </c>
      <c r="E372" s="79">
        <v>2086.8000000000002</v>
      </c>
      <c r="F372" s="79">
        <v>2086.8000000000002</v>
      </c>
      <c r="G372" s="79">
        <v>2086.8000000000002</v>
      </c>
      <c r="H372" s="66" t="s">
        <v>16</v>
      </c>
      <c r="I372" s="19">
        <f t="shared" si="77"/>
        <v>1</v>
      </c>
    </row>
    <row r="373" spans="1:9" s="2" customFormat="1" ht="78.75" x14ac:dyDescent="0.25">
      <c r="A373" s="49"/>
      <c r="B373" s="77" t="s">
        <v>243</v>
      </c>
      <c r="C373" s="16" t="s">
        <v>15</v>
      </c>
      <c r="D373" s="79">
        <v>2445.8000000000002</v>
      </c>
      <c r="E373" s="79">
        <v>2445.8000000000002</v>
      </c>
      <c r="F373" s="79">
        <v>2445.8000000000002</v>
      </c>
      <c r="G373" s="79">
        <v>2445.8000000000002</v>
      </c>
      <c r="H373" s="66" t="s">
        <v>16</v>
      </c>
      <c r="I373" s="19">
        <f t="shared" si="77"/>
        <v>1</v>
      </c>
    </row>
    <row r="374" spans="1:9" s="2" customFormat="1" ht="110.25" x14ac:dyDescent="0.25">
      <c r="A374" s="49"/>
      <c r="B374" s="77" t="s">
        <v>244</v>
      </c>
      <c r="C374" s="16" t="s">
        <v>15</v>
      </c>
      <c r="D374" s="79">
        <v>278.89999999999998</v>
      </c>
      <c r="E374" s="79">
        <v>278.89999999999998</v>
      </c>
      <c r="F374" s="79">
        <v>278.89999999999998</v>
      </c>
      <c r="G374" s="79">
        <v>278.89999999999998</v>
      </c>
      <c r="H374" s="66" t="s">
        <v>16</v>
      </c>
      <c r="I374" s="19">
        <f t="shared" si="77"/>
        <v>1</v>
      </c>
    </row>
    <row r="375" spans="1:9" s="2" customFormat="1" ht="110.25" x14ac:dyDescent="0.25">
      <c r="A375" s="49"/>
      <c r="B375" s="77" t="s">
        <v>245</v>
      </c>
      <c r="C375" s="16" t="s">
        <v>15</v>
      </c>
      <c r="D375" s="79">
        <v>356.6</v>
      </c>
      <c r="E375" s="79">
        <v>356.6</v>
      </c>
      <c r="F375" s="79">
        <v>356.6</v>
      </c>
      <c r="G375" s="79">
        <v>356.6</v>
      </c>
      <c r="H375" s="66" t="s">
        <v>16</v>
      </c>
      <c r="I375" s="19">
        <f t="shared" si="77"/>
        <v>1</v>
      </c>
    </row>
    <row r="376" spans="1:9" s="2" customFormat="1" ht="78.75" x14ac:dyDescent="0.25">
      <c r="A376" s="49"/>
      <c r="B376" s="77" t="s">
        <v>246</v>
      </c>
      <c r="C376" s="16" t="s">
        <v>15</v>
      </c>
      <c r="D376" s="79">
        <v>528.5</v>
      </c>
      <c r="E376" s="79">
        <v>528.5</v>
      </c>
      <c r="F376" s="79">
        <v>528.5</v>
      </c>
      <c r="G376" s="79">
        <v>528.5</v>
      </c>
      <c r="H376" s="66" t="s">
        <v>16</v>
      </c>
      <c r="I376" s="19">
        <f t="shared" si="77"/>
        <v>1</v>
      </c>
    </row>
    <row r="377" spans="1:9" s="2" customFormat="1" ht="47.25" x14ac:dyDescent="0.25">
      <c r="A377" s="49"/>
      <c r="B377" s="77" t="s">
        <v>247</v>
      </c>
      <c r="C377" s="16" t="s">
        <v>191</v>
      </c>
      <c r="D377" s="74">
        <v>700</v>
      </c>
      <c r="E377" s="74">
        <v>700</v>
      </c>
      <c r="F377" s="74">
        <v>700</v>
      </c>
      <c r="G377" s="74">
        <v>700</v>
      </c>
      <c r="H377" s="66" t="s">
        <v>16</v>
      </c>
      <c r="I377" s="19">
        <f t="shared" si="77"/>
        <v>1</v>
      </c>
    </row>
    <row r="378" spans="1:9" s="2" customFormat="1" x14ac:dyDescent="0.25">
      <c r="A378" s="118"/>
      <c r="B378" s="94" t="s">
        <v>33</v>
      </c>
      <c r="C378" s="80" t="s">
        <v>34</v>
      </c>
      <c r="D378" s="81">
        <f>D379+D380+D381</f>
        <v>35176.799999999996</v>
      </c>
      <c r="E378" s="81">
        <f t="shared" ref="E378:G378" si="79">E379+E380+E381</f>
        <v>35176.799999999996</v>
      </c>
      <c r="F378" s="81">
        <f t="shared" si="79"/>
        <v>29499.200000000001</v>
      </c>
      <c r="G378" s="81">
        <f t="shared" si="79"/>
        <v>29499.1</v>
      </c>
      <c r="H378" s="66" t="s">
        <v>16</v>
      </c>
      <c r="I378" s="19">
        <f t="shared" si="77"/>
        <v>0.83860000000000001</v>
      </c>
    </row>
    <row r="379" spans="1:9" s="2" customFormat="1" ht="47.25" x14ac:dyDescent="0.25">
      <c r="A379" s="98"/>
      <c r="B379" s="95"/>
      <c r="C379" s="16" t="s">
        <v>27</v>
      </c>
      <c r="D379" s="22">
        <f>D362+D371+D370+D369+D368+D367-0.1</f>
        <v>10368.199999999999</v>
      </c>
      <c r="E379" s="22">
        <f>E362+E371+E370+E369+E368+E367-0.1</f>
        <v>10368.199999999999</v>
      </c>
      <c r="F379" s="22">
        <f>F362+F371+F370+F369+F368+F367</f>
        <v>10368.299999999999</v>
      </c>
      <c r="G379" s="22">
        <f>G362+G371+G370+G369+G368+G367</f>
        <v>10368.299999999999</v>
      </c>
      <c r="H379" s="66" t="s">
        <v>16</v>
      </c>
      <c r="I379" s="19">
        <f t="shared" si="77"/>
        <v>1</v>
      </c>
    </row>
    <row r="380" spans="1:9" s="2" customFormat="1" ht="31.5" x14ac:dyDescent="0.25">
      <c r="A380" s="98"/>
      <c r="B380" s="112"/>
      <c r="C380" s="21" t="s">
        <v>15</v>
      </c>
      <c r="D380" s="25">
        <f>D376+D375+D374+D373+D372+D366+D365+D364+D363+D361+D360+D359+D358+D357</f>
        <v>24108.6</v>
      </c>
      <c r="E380" s="25">
        <f>E376+E375+E374+E373+E372+E366+E365+E364+E363+E361+E360+E359+E358+E357</f>
        <v>24108.6</v>
      </c>
      <c r="F380" s="25">
        <f>F376+F375+F374+F373+F372+F366+F365+F364+F363+F361+F360+F359+F358+F357-0.1</f>
        <v>18430.900000000001</v>
      </c>
      <c r="G380" s="25">
        <f>G376+G375+G374+G373+G372+G366+G365+G364+G363+G361+G360+G359+G358+G357-0.2</f>
        <v>18430.8</v>
      </c>
      <c r="H380" s="66" t="s">
        <v>16</v>
      </c>
      <c r="I380" s="19">
        <f t="shared" si="77"/>
        <v>0.76449999999999996</v>
      </c>
    </row>
    <row r="381" spans="1:9" s="2" customFormat="1" ht="31.5" x14ac:dyDescent="0.25">
      <c r="A381" s="82"/>
      <c r="B381" s="117"/>
      <c r="C381" s="16" t="s">
        <v>191</v>
      </c>
      <c r="D381" s="17">
        <f>D377</f>
        <v>700</v>
      </c>
      <c r="E381" s="17">
        <f>E377</f>
        <v>700</v>
      </c>
      <c r="F381" s="17">
        <f>F377</f>
        <v>700</v>
      </c>
      <c r="G381" s="17">
        <f>G377</f>
        <v>700</v>
      </c>
      <c r="H381" s="66" t="s">
        <v>16</v>
      </c>
      <c r="I381" s="19">
        <f t="shared" si="77"/>
        <v>1</v>
      </c>
    </row>
    <row r="382" spans="1:9" s="2" customFormat="1" x14ac:dyDescent="0.25">
      <c r="A382" s="109" t="s">
        <v>248</v>
      </c>
      <c r="B382" s="110"/>
      <c r="C382" s="110"/>
      <c r="D382" s="110"/>
      <c r="E382" s="110"/>
      <c r="F382" s="110"/>
      <c r="G382" s="110"/>
      <c r="H382" s="110"/>
      <c r="I382" s="111"/>
    </row>
    <row r="383" spans="1:9" s="2" customFormat="1" ht="63" x14ac:dyDescent="0.25">
      <c r="A383" s="59"/>
      <c r="B383" s="60" t="s">
        <v>249</v>
      </c>
      <c r="C383" s="16" t="s">
        <v>15</v>
      </c>
      <c r="D383" s="74">
        <v>18843.5</v>
      </c>
      <c r="E383" s="74">
        <v>18843.5</v>
      </c>
      <c r="F383" s="74">
        <v>16210.2</v>
      </c>
      <c r="G383" s="74">
        <v>16210.2</v>
      </c>
      <c r="H383" s="66" t="s">
        <v>16</v>
      </c>
      <c r="I383" s="19">
        <f t="shared" ref="I383:I391" si="80">ROUND(G383/E383,4)</f>
        <v>0.86029999999999995</v>
      </c>
    </row>
    <row r="384" spans="1:9" s="2" customFormat="1" ht="63" x14ac:dyDescent="0.25">
      <c r="A384" s="59"/>
      <c r="B384" s="60" t="s">
        <v>250</v>
      </c>
      <c r="C384" s="16" t="s">
        <v>15</v>
      </c>
      <c r="D384" s="74">
        <v>934.1</v>
      </c>
      <c r="E384" s="74">
        <v>934.1</v>
      </c>
      <c r="F384" s="74">
        <v>784</v>
      </c>
      <c r="G384" s="74">
        <v>784</v>
      </c>
      <c r="H384" s="66" t="s">
        <v>16</v>
      </c>
      <c r="I384" s="19">
        <f t="shared" si="80"/>
        <v>0.83930000000000005</v>
      </c>
    </row>
    <row r="385" spans="1:9" s="2" customFormat="1" ht="47.25" x14ac:dyDescent="0.25">
      <c r="A385" s="59"/>
      <c r="B385" s="60" t="s">
        <v>251</v>
      </c>
      <c r="C385" s="16" t="s">
        <v>27</v>
      </c>
      <c r="D385" s="74">
        <v>8113.7</v>
      </c>
      <c r="E385" s="74">
        <v>8113.7</v>
      </c>
      <c r="F385" s="74">
        <v>8113.7</v>
      </c>
      <c r="G385" s="74">
        <v>8113.7</v>
      </c>
      <c r="H385" s="66" t="s">
        <v>16</v>
      </c>
      <c r="I385" s="19">
        <f t="shared" si="80"/>
        <v>1</v>
      </c>
    </row>
    <row r="386" spans="1:9" s="2" customFormat="1" ht="31.5" x14ac:dyDescent="0.25">
      <c r="A386" s="59"/>
      <c r="B386" s="60" t="s">
        <v>252</v>
      </c>
      <c r="C386" s="16" t="s">
        <v>191</v>
      </c>
      <c r="D386" s="74">
        <v>4500</v>
      </c>
      <c r="E386" s="75">
        <v>4500</v>
      </c>
      <c r="F386" s="74">
        <v>3967.6</v>
      </c>
      <c r="G386" s="74">
        <v>3967.6</v>
      </c>
      <c r="H386" s="66" t="s">
        <v>16</v>
      </c>
      <c r="I386" s="19">
        <f t="shared" si="80"/>
        <v>0.88170000000000004</v>
      </c>
    </row>
    <row r="387" spans="1:9" s="2" customFormat="1" ht="47.25" x14ac:dyDescent="0.25">
      <c r="A387" s="59"/>
      <c r="B387" s="60" t="s">
        <v>253</v>
      </c>
      <c r="C387" s="16" t="s">
        <v>15</v>
      </c>
      <c r="D387" s="74">
        <v>135</v>
      </c>
      <c r="E387" s="74">
        <v>135</v>
      </c>
      <c r="F387" s="74">
        <v>135</v>
      </c>
      <c r="G387" s="74">
        <v>135</v>
      </c>
      <c r="H387" s="66" t="s">
        <v>16</v>
      </c>
      <c r="I387" s="19">
        <f t="shared" si="80"/>
        <v>1</v>
      </c>
    </row>
    <row r="388" spans="1:9" s="2" customFormat="1" x14ac:dyDescent="0.25">
      <c r="A388" s="118"/>
      <c r="B388" s="94" t="s">
        <v>33</v>
      </c>
      <c r="C388" s="13" t="s">
        <v>34</v>
      </c>
      <c r="D388" s="28">
        <f>D391+D389+D390</f>
        <v>32526.3</v>
      </c>
      <c r="E388" s="28">
        <f>E391+E389+E390</f>
        <v>32526.3</v>
      </c>
      <c r="F388" s="28">
        <f>F391+F389+F390</f>
        <v>29210.5</v>
      </c>
      <c r="G388" s="28">
        <f>G391+G389+G390</f>
        <v>29210.5</v>
      </c>
      <c r="H388" s="66" t="s">
        <v>16</v>
      </c>
      <c r="I388" s="19">
        <f t="shared" si="80"/>
        <v>0.89810000000000001</v>
      </c>
    </row>
    <row r="389" spans="1:9" s="2" customFormat="1" ht="47.25" x14ac:dyDescent="0.25">
      <c r="A389" s="98"/>
      <c r="B389" s="95"/>
      <c r="C389" s="16" t="s">
        <v>27</v>
      </c>
      <c r="D389" s="17">
        <f t="shared" ref="D389:G390" si="81">D385</f>
        <v>8113.7</v>
      </c>
      <c r="E389" s="17">
        <f t="shared" si="81"/>
        <v>8113.7</v>
      </c>
      <c r="F389" s="17">
        <f>F385</f>
        <v>8113.7</v>
      </c>
      <c r="G389" s="17">
        <f>G385</f>
        <v>8113.7</v>
      </c>
      <c r="H389" s="66" t="s">
        <v>16</v>
      </c>
      <c r="I389" s="19">
        <f t="shared" si="80"/>
        <v>1</v>
      </c>
    </row>
    <row r="390" spans="1:9" s="2" customFormat="1" ht="31.5" x14ac:dyDescent="0.25">
      <c r="A390" s="98"/>
      <c r="B390" s="95"/>
      <c r="C390" s="16" t="s">
        <v>191</v>
      </c>
      <c r="D390" s="17">
        <f t="shared" si="81"/>
        <v>4500</v>
      </c>
      <c r="E390" s="17">
        <f t="shared" si="81"/>
        <v>4500</v>
      </c>
      <c r="F390" s="17">
        <f t="shared" si="81"/>
        <v>3967.6</v>
      </c>
      <c r="G390" s="17">
        <f t="shared" si="81"/>
        <v>3967.6</v>
      </c>
      <c r="H390" s="66" t="s">
        <v>16</v>
      </c>
      <c r="I390" s="19">
        <f t="shared" si="80"/>
        <v>0.88170000000000004</v>
      </c>
    </row>
    <row r="391" spans="1:9" s="2" customFormat="1" ht="31.5" x14ac:dyDescent="0.25">
      <c r="A391" s="99"/>
      <c r="B391" s="104"/>
      <c r="C391" s="16" t="s">
        <v>15</v>
      </c>
      <c r="D391" s="17">
        <f>D383+D384+D387</f>
        <v>19912.599999999999</v>
      </c>
      <c r="E391" s="17">
        <f>E383+E384+E387</f>
        <v>19912.599999999999</v>
      </c>
      <c r="F391" s="17">
        <f>F383+F384+F387</f>
        <v>17129.2</v>
      </c>
      <c r="G391" s="17">
        <f>G383+G384+G387</f>
        <v>17129.2</v>
      </c>
      <c r="H391" s="66" t="s">
        <v>16</v>
      </c>
      <c r="I391" s="19">
        <f t="shared" si="80"/>
        <v>0.86019999999999996</v>
      </c>
    </row>
    <row r="392" spans="1:9" s="2" customFormat="1" x14ac:dyDescent="0.25">
      <c r="A392" s="109" t="s">
        <v>254</v>
      </c>
      <c r="B392" s="110"/>
      <c r="C392" s="110"/>
      <c r="D392" s="110"/>
      <c r="E392" s="110"/>
      <c r="F392" s="110"/>
      <c r="G392" s="110"/>
      <c r="H392" s="110"/>
      <c r="I392" s="111"/>
    </row>
    <row r="393" spans="1:9" s="2" customFormat="1" ht="63" x14ac:dyDescent="0.25">
      <c r="A393" s="67"/>
      <c r="B393" s="83" t="s">
        <v>255</v>
      </c>
      <c r="C393" s="16" t="s">
        <v>15</v>
      </c>
      <c r="D393" s="17">
        <v>10780</v>
      </c>
      <c r="E393" s="17">
        <v>10780</v>
      </c>
      <c r="F393" s="17">
        <v>8086.4</v>
      </c>
      <c r="G393" s="17">
        <v>8086.4</v>
      </c>
      <c r="H393" s="66" t="s">
        <v>16</v>
      </c>
      <c r="I393" s="19">
        <f t="shared" ref="I393:I401" si="82">ROUND(G393/E393,4)</f>
        <v>0.75009999999999999</v>
      </c>
    </row>
    <row r="394" spans="1:9" s="2" customFormat="1" ht="31.5" x14ac:dyDescent="0.25">
      <c r="A394" s="67"/>
      <c r="B394" s="83" t="s">
        <v>256</v>
      </c>
      <c r="C394" s="16" t="s">
        <v>15</v>
      </c>
      <c r="D394" s="17">
        <v>1315</v>
      </c>
      <c r="E394" s="17">
        <v>1315</v>
      </c>
      <c r="F394" s="17">
        <v>1195.8</v>
      </c>
      <c r="G394" s="17">
        <v>1195.8</v>
      </c>
      <c r="H394" s="66" t="s">
        <v>16</v>
      </c>
      <c r="I394" s="19">
        <v>0</v>
      </c>
    </row>
    <row r="395" spans="1:9" s="2" customFormat="1" ht="78.75" x14ac:dyDescent="0.25">
      <c r="A395" s="67"/>
      <c r="B395" s="83" t="s">
        <v>257</v>
      </c>
      <c r="C395" s="16" t="s">
        <v>15</v>
      </c>
      <c r="D395" s="17">
        <v>0.1</v>
      </c>
      <c r="E395" s="17">
        <v>0.1</v>
      </c>
      <c r="F395" s="17">
        <v>0</v>
      </c>
      <c r="G395" s="17">
        <v>0</v>
      </c>
      <c r="H395" s="66" t="s">
        <v>16</v>
      </c>
      <c r="I395" s="19">
        <f t="shared" si="82"/>
        <v>0</v>
      </c>
    </row>
    <row r="396" spans="1:9" s="2" customFormat="1" ht="173.25" x14ac:dyDescent="0.25">
      <c r="A396" s="67"/>
      <c r="B396" s="84" t="s">
        <v>290</v>
      </c>
      <c r="C396" s="16" t="s">
        <v>27</v>
      </c>
      <c r="D396" s="17">
        <v>0</v>
      </c>
      <c r="E396" s="17">
        <v>0</v>
      </c>
      <c r="F396" s="17">
        <v>0</v>
      </c>
      <c r="G396" s="17">
        <v>0</v>
      </c>
      <c r="H396" s="66" t="s">
        <v>16</v>
      </c>
      <c r="I396" s="19">
        <v>0</v>
      </c>
    </row>
    <row r="397" spans="1:9" s="2" customFormat="1" ht="63" x14ac:dyDescent="0.25">
      <c r="A397" s="67"/>
      <c r="B397" s="84" t="s">
        <v>289</v>
      </c>
      <c r="C397" s="16" t="s">
        <v>29</v>
      </c>
      <c r="D397" s="17">
        <v>79873.2</v>
      </c>
      <c r="E397" s="17">
        <v>79873.2</v>
      </c>
      <c r="F397" s="17">
        <v>71510.2</v>
      </c>
      <c r="G397" s="17">
        <v>71510.2</v>
      </c>
      <c r="H397" s="66" t="s">
        <v>16</v>
      </c>
      <c r="I397" s="19">
        <f t="shared" si="82"/>
        <v>0.89529999999999998</v>
      </c>
    </row>
    <row r="398" spans="1:9" s="2" customFormat="1" x14ac:dyDescent="0.25">
      <c r="A398" s="126"/>
      <c r="B398" s="145" t="s">
        <v>33</v>
      </c>
      <c r="C398" s="13" t="s">
        <v>34</v>
      </c>
      <c r="D398" s="28">
        <f>D401+D399+D400</f>
        <v>91968.3</v>
      </c>
      <c r="E398" s="28">
        <f t="shared" ref="E398:G398" si="83">E401+E399+E400</f>
        <v>91968.3</v>
      </c>
      <c r="F398" s="28">
        <f t="shared" si="83"/>
        <v>80792.399999999994</v>
      </c>
      <c r="G398" s="28">
        <f t="shared" si="83"/>
        <v>80792.299999999988</v>
      </c>
      <c r="H398" s="68" t="s">
        <v>16</v>
      </c>
      <c r="I398" s="44">
        <f t="shared" si="82"/>
        <v>0.87849999999999995</v>
      </c>
    </row>
    <row r="399" spans="1:9" s="2" customFormat="1" ht="47.25" x14ac:dyDescent="0.25">
      <c r="A399" s="140"/>
      <c r="B399" s="95"/>
      <c r="C399" s="16" t="s">
        <v>27</v>
      </c>
      <c r="D399" s="17">
        <f>D396</f>
        <v>0</v>
      </c>
      <c r="E399" s="17">
        <f t="shared" ref="E399:G399" si="84">E396</f>
        <v>0</v>
      </c>
      <c r="F399" s="17">
        <f t="shared" si="84"/>
        <v>0</v>
      </c>
      <c r="G399" s="17">
        <f t="shared" si="84"/>
        <v>0</v>
      </c>
      <c r="H399" s="66" t="s">
        <v>16</v>
      </c>
      <c r="I399" s="19">
        <v>0</v>
      </c>
    </row>
    <row r="400" spans="1:9" s="2" customFormat="1" ht="31.5" x14ac:dyDescent="0.25">
      <c r="A400" s="140"/>
      <c r="B400" s="95"/>
      <c r="C400" s="16" t="s">
        <v>29</v>
      </c>
      <c r="D400" s="17">
        <f>D397</f>
        <v>79873.2</v>
      </c>
      <c r="E400" s="17">
        <f t="shared" ref="E400:G400" si="85">E397</f>
        <v>79873.2</v>
      </c>
      <c r="F400" s="17">
        <f t="shared" si="85"/>
        <v>71510.2</v>
      </c>
      <c r="G400" s="17">
        <f t="shared" si="85"/>
        <v>71510.2</v>
      </c>
      <c r="H400" s="66" t="s">
        <v>16</v>
      </c>
      <c r="I400" s="19">
        <f t="shared" si="82"/>
        <v>0.89529999999999998</v>
      </c>
    </row>
    <row r="401" spans="1:9" s="2" customFormat="1" ht="31.5" x14ac:dyDescent="0.25">
      <c r="A401" s="108"/>
      <c r="B401" s="117"/>
      <c r="C401" s="16" t="s">
        <v>15</v>
      </c>
      <c r="D401" s="17">
        <f>D393+D394+D395</f>
        <v>12095.1</v>
      </c>
      <c r="E401" s="17">
        <f>E393+E394+E395</f>
        <v>12095.1</v>
      </c>
      <c r="F401" s="17">
        <f>F393+F394+F395</f>
        <v>9282.1999999999989</v>
      </c>
      <c r="G401" s="17">
        <f>G393+G394+G395-0.1</f>
        <v>9282.0999999999985</v>
      </c>
      <c r="H401" s="66" t="s">
        <v>16</v>
      </c>
      <c r="I401" s="19">
        <f t="shared" si="82"/>
        <v>0.76739999999999997</v>
      </c>
    </row>
    <row r="402" spans="1:9" s="2" customFormat="1" x14ac:dyDescent="0.25">
      <c r="A402" s="109" t="s">
        <v>258</v>
      </c>
      <c r="B402" s="110"/>
      <c r="C402" s="110"/>
      <c r="D402" s="110"/>
      <c r="E402" s="110"/>
      <c r="F402" s="110"/>
      <c r="G402" s="110"/>
      <c r="H402" s="110"/>
      <c r="I402" s="111"/>
    </row>
    <row r="403" spans="1:9" s="2" customFormat="1" ht="126" x14ac:dyDescent="0.25">
      <c r="A403" s="59"/>
      <c r="B403" s="60" t="s">
        <v>259</v>
      </c>
      <c r="C403" s="16" t="s">
        <v>15</v>
      </c>
      <c r="D403" s="74">
        <v>10000</v>
      </c>
      <c r="E403" s="74">
        <v>10000</v>
      </c>
      <c r="F403" s="74">
        <v>5950.4</v>
      </c>
      <c r="G403" s="74">
        <v>5950.4</v>
      </c>
      <c r="H403" s="66" t="s">
        <v>16</v>
      </c>
      <c r="I403" s="19">
        <f t="shared" ref="I403:I405" si="86">ROUND(G403/E403,4)</f>
        <v>0.59499999999999997</v>
      </c>
    </row>
    <row r="404" spans="1:9" s="2" customFormat="1" x14ac:dyDescent="0.25">
      <c r="A404" s="118"/>
      <c r="B404" s="94" t="s">
        <v>33</v>
      </c>
      <c r="C404" s="13" t="s">
        <v>34</v>
      </c>
      <c r="D404" s="28">
        <f>D405</f>
        <v>10000</v>
      </c>
      <c r="E404" s="28">
        <f>E405</f>
        <v>10000</v>
      </c>
      <c r="F404" s="28">
        <f>F405</f>
        <v>5950.4</v>
      </c>
      <c r="G404" s="28">
        <f>G405</f>
        <v>5950.4</v>
      </c>
      <c r="H404" s="66" t="s">
        <v>16</v>
      </c>
      <c r="I404" s="19">
        <f t="shared" si="86"/>
        <v>0.59499999999999997</v>
      </c>
    </row>
    <row r="405" spans="1:9" s="2" customFormat="1" ht="31.5" x14ac:dyDescent="0.25">
      <c r="A405" s="99"/>
      <c r="B405" s="104"/>
      <c r="C405" s="16" t="s">
        <v>15</v>
      </c>
      <c r="D405" s="17">
        <f>D403</f>
        <v>10000</v>
      </c>
      <c r="E405" s="17">
        <f>E403</f>
        <v>10000</v>
      </c>
      <c r="F405" s="17">
        <f>F403</f>
        <v>5950.4</v>
      </c>
      <c r="G405" s="17">
        <f>G403</f>
        <v>5950.4</v>
      </c>
      <c r="H405" s="66" t="s">
        <v>16</v>
      </c>
      <c r="I405" s="19">
        <f t="shared" si="86"/>
        <v>0.59499999999999997</v>
      </c>
    </row>
    <row r="406" spans="1:9" s="2" customFormat="1" x14ac:dyDescent="0.25">
      <c r="A406" s="109" t="s">
        <v>260</v>
      </c>
      <c r="B406" s="110"/>
      <c r="C406" s="110"/>
      <c r="D406" s="110"/>
      <c r="E406" s="110"/>
      <c r="F406" s="110"/>
      <c r="G406" s="110"/>
      <c r="H406" s="110"/>
      <c r="I406" s="111"/>
    </row>
    <row r="407" spans="1:9" s="2" customFormat="1" ht="63" x14ac:dyDescent="0.25">
      <c r="A407" s="85"/>
      <c r="B407" s="21" t="s">
        <v>261</v>
      </c>
      <c r="C407" s="16" t="s">
        <v>15</v>
      </c>
      <c r="D407" s="17">
        <v>998.5</v>
      </c>
      <c r="E407" s="17">
        <v>998.5</v>
      </c>
      <c r="F407" s="17">
        <v>591.4</v>
      </c>
      <c r="G407" s="17">
        <v>591.4</v>
      </c>
      <c r="H407" s="66" t="s">
        <v>16</v>
      </c>
      <c r="I407" s="19">
        <f t="shared" ref="I407:I411" si="87">ROUND(G407/E407,4)</f>
        <v>0.59230000000000005</v>
      </c>
    </row>
    <row r="408" spans="1:9" s="2" customFormat="1" ht="63" x14ac:dyDescent="0.25">
      <c r="A408" s="85"/>
      <c r="B408" s="21" t="s">
        <v>289</v>
      </c>
      <c r="C408" s="16" t="s">
        <v>29</v>
      </c>
      <c r="D408" s="17">
        <v>14787.7</v>
      </c>
      <c r="E408" s="17">
        <v>14787.7</v>
      </c>
      <c r="F408" s="17">
        <v>13443.6</v>
      </c>
      <c r="G408" s="17">
        <v>13443.6</v>
      </c>
      <c r="H408" s="66" t="s">
        <v>16</v>
      </c>
      <c r="I408" s="19">
        <f t="shared" ref="I408" si="88">ROUND(G408/E408,4)</f>
        <v>0.90910000000000002</v>
      </c>
    </row>
    <row r="409" spans="1:9" s="2" customFormat="1" x14ac:dyDescent="0.25">
      <c r="A409" s="126"/>
      <c r="B409" s="94" t="s">
        <v>33</v>
      </c>
      <c r="C409" s="13" t="s">
        <v>34</v>
      </c>
      <c r="D409" s="28">
        <f>D411+D410</f>
        <v>15786.2</v>
      </c>
      <c r="E409" s="28">
        <f t="shared" ref="E409:G409" si="89">E411+E410</f>
        <v>15786.2</v>
      </c>
      <c r="F409" s="28">
        <f t="shared" si="89"/>
        <v>14035</v>
      </c>
      <c r="G409" s="28">
        <f t="shared" si="89"/>
        <v>14035</v>
      </c>
      <c r="H409" s="68" t="s">
        <v>16</v>
      </c>
      <c r="I409" s="44">
        <f t="shared" si="87"/>
        <v>0.8891</v>
      </c>
    </row>
    <row r="410" spans="1:9" s="2" customFormat="1" ht="31.5" x14ac:dyDescent="0.25">
      <c r="A410" s="140"/>
      <c r="B410" s="95"/>
      <c r="C410" s="16" t="s">
        <v>29</v>
      </c>
      <c r="D410" s="17">
        <f>D408</f>
        <v>14787.7</v>
      </c>
      <c r="E410" s="17">
        <f t="shared" ref="E410:G410" si="90">E408</f>
        <v>14787.7</v>
      </c>
      <c r="F410" s="17">
        <f t="shared" si="90"/>
        <v>13443.6</v>
      </c>
      <c r="G410" s="17">
        <f t="shared" si="90"/>
        <v>13443.6</v>
      </c>
      <c r="H410" s="66" t="s">
        <v>16</v>
      </c>
      <c r="I410" s="19">
        <f t="shared" ref="I410" si="91">ROUND(G410/E410,4)</f>
        <v>0.90910000000000002</v>
      </c>
    </row>
    <row r="411" spans="1:9" s="2" customFormat="1" ht="31.5" x14ac:dyDescent="0.25">
      <c r="A411" s="108"/>
      <c r="B411" s="117"/>
      <c r="C411" s="16" t="s">
        <v>15</v>
      </c>
      <c r="D411" s="17">
        <f>D407</f>
        <v>998.5</v>
      </c>
      <c r="E411" s="17">
        <f>E407</f>
        <v>998.5</v>
      </c>
      <c r="F411" s="17">
        <f>F407</f>
        <v>591.4</v>
      </c>
      <c r="G411" s="17">
        <f>G407</f>
        <v>591.4</v>
      </c>
      <c r="H411" s="66" t="s">
        <v>16</v>
      </c>
      <c r="I411" s="19">
        <f t="shared" si="87"/>
        <v>0.59230000000000005</v>
      </c>
    </row>
    <row r="412" spans="1:9" s="2" customFormat="1" x14ac:dyDescent="0.25">
      <c r="A412" s="109" t="s">
        <v>262</v>
      </c>
      <c r="B412" s="110"/>
      <c r="C412" s="110"/>
      <c r="D412" s="110"/>
      <c r="E412" s="110"/>
      <c r="F412" s="110"/>
      <c r="G412" s="110"/>
      <c r="H412" s="110"/>
      <c r="I412" s="111"/>
    </row>
    <row r="413" spans="1:9" s="2" customFormat="1" ht="252" x14ac:dyDescent="0.25">
      <c r="A413" s="86"/>
      <c r="B413" s="16" t="s">
        <v>263</v>
      </c>
      <c r="C413" s="16" t="s">
        <v>15</v>
      </c>
      <c r="D413" s="17">
        <v>5900</v>
      </c>
      <c r="E413" s="17">
        <v>5900</v>
      </c>
      <c r="F413" s="17">
        <v>2743.2</v>
      </c>
      <c r="G413" s="17">
        <v>2743.2</v>
      </c>
      <c r="H413" s="66" t="s">
        <v>16</v>
      </c>
      <c r="I413" s="19">
        <f t="shared" ref="I413:I415" si="92">ROUND(G413/E413,4)</f>
        <v>0.46489999999999998</v>
      </c>
    </row>
    <row r="414" spans="1:9" s="2" customFormat="1" x14ac:dyDescent="0.25">
      <c r="A414" s="106"/>
      <c r="B414" s="94" t="s">
        <v>33</v>
      </c>
      <c r="C414" s="13" t="s">
        <v>264</v>
      </c>
      <c r="D414" s="28">
        <f>D415</f>
        <v>5900</v>
      </c>
      <c r="E414" s="28">
        <f t="shared" ref="E414:G414" si="93">E415</f>
        <v>5900</v>
      </c>
      <c r="F414" s="28">
        <f t="shared" si="93"/>
        <v>2743.2</v>
      </c>
      <c r="G414" s="28">
        <f t="shared" si="93"/>
        <v>2743.2</v>
      </c>
      <c r="H414" s="68" t="s">
        <v>16</v>
      </c>
      <c r="I414" s="44">
        <f t="shared" si="92"/>
        <v>0.46489999999999998</v>
      </c>
    </row>
    <row r="415" spans="1:9" s="2" customFormat="1" ht="31.5" x14ac:dyDescent="0.25">
      <c r="A415" s="108"/>
      <c r="B415" s="105"/>
      <c r="C415" s="16" t="s">
        <v>15</v>
      </c>
      <c r="D415" s="17">
        <f>D413</f>
        <v>5900</v>
      </c>
      <c r="E415" s="17">
        <f t="shared" ref="E415:G415" si="94">E413</f>
        <v>5900</v>
      </c>
      <c r="F415" s="17">
        <f t="shared" si="94"/>
        <v>2743.2</v>
      </c>
      <c r="G415" s="17">
        <f t="shared" si="94"/>
        <v>2743.2</v>
      </c>
      <c r="H415" s="66" t="s">
        <v>16</v>
      </c>
      <c r="I415" s="19">
        <f t="shared" si="92"/>
        <v>0.46489999999999998</v>
      </c>
    </row>
    <row r="416" spans="1:9" s="2" customFormat="1" x14ac:dyDescent="0.25">
      <c r="A416" s="109" t="s">
        <v>265</v>
      </c>
      <c r="B416" s="110"/>
      <c r="C416" s="110"/>
      <c r="D416" s="110"/>
      <c r="E416" s="110"/>
      <c r="F416" s="110"/>
      <c r="G416" s="110"/>
      <c r="H416" s="110"/>
      <c r="I416" s="111"/>
    </row>
    <row r="417" spans="1:9" s="2" customFormat="1" ht="94.5" x14ac:dyDescent="0.25">
      <c r="A417" s="86"/>
      <c r="B417" s="16" t="s">
        <v>266</v>
      </c>
      <c r="C417" s="16" t="s">
        <v>15</v>
      </c>
      <c r="D417" s="17">
        <v>522</v>
      </c>
      <c r="E417" s="17">
        <v>522</v>
      </c>
      <c r="F417" s="17">
        <v>483.5</v>
      </c>
      <c r="G417" s="17">
        <v>483.5</v>
      </c>
      <c r="H417" s="66" t="s">
        <v>16</v>
      </c>
      <c r="I417" s="19">
        <f t="shared" ref="I417:I428" si="95">ROUND(G417/E417,4)</f>
        <v>0.92620000000000002</v>
      </c>
    </row>
    <row r="418" spans="1:9" s="2" customFormat="1" ht="47.25" x14ac:dyDescent="0.25">
      <c r="A418" s="86"/>
      <c r="B418" s="16" t="s">
        <v>291</v>
      </c>
      <c r="C418" s="16" t="s">
        <v>15</v>
      </c>
      <c r="D418" s="17">
        <v>208</v>
      </c>
      <c r="E418" s="17">
        <v>208</v>
      </c>
      <c r="F418" s="17">
        <v>30</v>
      </c>
      <c r="G418" s="17">
        <v>30</v>
      </c>
      <c r="H418" s="66" t="s">
        <v>16</v>
      </c>
      <c r="I418" s="19">
        <f t="shared" si="95"/>
        <v>0.14419999999999999</v>
      </c>
    </row>
    <row r="419" spans="1:9" s="2" customFormat="1" ht="31.5" x14ac:dyDescent="0.25">
      <c r="A419" s="86"/>
      <c r="B419" s="16" t="s">
        <v>267</v>
      </c>
      <c r="C419" s="16" t="s">
        <v>15</v>
      </c>
      <c r="D419" s="17">
        <v>14619.5</v>
      </c>
      <c r="E419" s="17">
        <v>14619.5</v>
      </c>
      <c r="F419" s="17">
        <v>11660.5</v>
      </c>
      <c r="G419" s="17">
        <v>11660.5</v>
      </c>
      <c r="H419" s="66" t="s">
        <v>16</v>
      </c>
      <c r="I419" s="19">
        <f t="shared" si="95"/>
        <v>0.79759999999999998</v>
      </c>
    </row>
    <row r="420" spans="1:9" s="2" customFormat="1" ht="110.25" x14ac:dyDescent="0.25">
      <c r="A420" s="86"/>
      <c r="B420" s="16" t="s">
        <v>268</v>
      </c>
      <c r="C420" s="62" t="s">
        <v>27</v>
      </c>
      <c r="D420" s="17">
        <v>114764.7</v>
      </c>
      <c r="E420" s="17">
        <v>114764.7</v>
      </c>
      <c r="F420" s="17">
        <v>114764.7</v>
      </c>
      <c r="G420" s="17">
        <v>114764.7</v>
      </c>
      <c r="H420" s="66" t="s">
        <v>16</v>
      </c>
      <c r="I420" s="19">
        <f t="shared" si="95"/>
        <v>1</v>
      </c>
    </row>
    <row r="421" spans="1:9" s="2" customFormat="1" x14ac:dyDescent="0.25">
      <c r="A421" s="106"/>
      <c r="B421" s="94" t="s">
        <v>33</v>
      </c>
      <c r="C421" s="13" t="s">
        <v>34</v>
      </c>
      <c r="D421" s="28">
        <f>D423+D422</f>
        <v>130114.2</v>
      </c>
      <c r="E421" s="28">
        <f>E423+E422</f>
        <v>130114.2</v>
      </c>
      <c r="F421" s="28">
        <f>F423+F422</f>
        <v>126938.7</v>
      </c>
      <c r="G421" s="28">
        <f>G423+G422</f>
        <v>126938.7</v>
      </c>
      <c r="H421" s="66" t="s">
        <v>16</v>
      </c>
      <c r="I421" s="19">
        <f t="shared" si="95"/>
        <v>0.97560000000000002</v>
      </c>
    </row>
    <row r="422" spans="1:9" s="2" customFormat="1" ht="31.5" x14ac:dyDescent="0.25">
      <c r="A422" s="107"/>
      <c r="B422" s="95"/>
      <c r="C422" s="16" t="s">
        <v>29</v>
      </c>
      <c r="D422" s="17">
        <f>D420</f>
        <v>114764.7</v>
      </c>
      <c r="E422" s="17">
        <f>E420</f>
        <v>114764.7</v>
      </c>
      <c r="F422" s="17">
        <f>F420</f>
        <v>114764.7</v>
      </c>
      <c r="G422" s="17">
        <f>G420</f>
        <v>114764.7</v>
      </c>
      <c r="H422" s="66" t="s">
        <v>16</v>
      </c>
      <c r="I422" s="19">
        <f t="shared" si="95"/>
        <v>1</v>
      </c>
    </row>
    <row r="423" spans="1:9" s="2" customFormat="1" ht="31.5" x14ac:dyDescent="0.25">
      <c r="A423" s="108"/>
      <c r="B423" s="105"/>
      <c r="C423" s="16" t="s">
        <v>15</v>
      </c>
      <c r="D423" s="17">
        <f>D417+D419+D418</f>
        <v>15349.5</v>
      </c>
      <c r="E423" s="17">
        <f t="shared" ref="E423:G423" si="96">E417+E419+E418</f>
        <v>15349.5</v>
      </c>
      <c r="F423" s="17">
        <f t="shared" si="96"/>
        <v>12174</v>
      </c>
      <c r="G423" s="17">
        <f t="shared" si="96"/>
        <v>12174</v>
      </c>
      <c r="H423" s="66" t="s">
        <v>16</v>
      </c>
      <c r="I423" s="19">
        <f t="shared" si="95"/>
        <v>0.79310000000000003</v>
      </c>
    </row>
    <row r="424" spans="1:9" s="2" customFormat="1" x14ac:dyDescent="0.25">
      <c r="A424" s="97"/>
      <c r="B424" s="94" t="s">
        <v>68</v>
      </c>
      <c r="C424" s="13" t="s">
        <v>34</v>
      </c>
      <c r="D424" s="28">
        <f>D425+D426+D427+D428</f>
        <v>321471.8</v>
      </c>
      <c r="E424" s="28">
        <f t="shared" ref="E424:G424" si="97">E425+E426+E427+E428</f>
        <v>321471.8</v>
      </c>
      <c r="F424" s="28">
        <f t="shared" si="97"/>
        <v>289169.3</v>
      </c>
      <c r="G424" s="28">
        <f t="shared" si="97"/>
        <v>289169.3</v>
      </c>
      <c r="H424" s="68" t="s">
        <v>16</v>
      </c>
      <c r="I424" s="44">
        <f t="shared" si="95"/>
        <v>0.89949999999999997</v>
      </c>
    </row>
    <row r="425" spans="1:9" s="2" customFormat="1" ht="31.5" x14ac:dyDescent="0.25">
      <c r="A425" s="98"/>
      <c r="B425" s="95"/>
      <c r="C425" s="46" t="s">
        <v>29</v>
      </c>
      <c r="D425" s="47">
        <f>D422+D410+D400</f>
        <v>209425.59999999998</v>
      </c>
      <c r="E425" s="47">
        <f t="shared" ref="E425:G425" si="98">E422+E410+E400</f>
        <v>209425.59999999998</v>
      </c>
      <c r="F425" s="47">
        <f t="shared" si="98"/>
        <v>199718.5</v>
      </c>
      <c r="G425" s="47">
        <f t="shared" si="98"/>
        <v>199718.5</v>
      </c>
      <c r="H425" s="69" t="s">
        <v>16</v>
      </c>
      <c r="I425" s="39">
        <f t="shared" si="95"/>
        <v>0.9536</v>
      </c>
    </row>
    <row r="426" spans="1:9" s="2" customFormat="1" ht="31.5" x14ac:dyDescent="0.25">
      <c r="A426" s="98"/>
      <c r="B426" s="112"/>
      <c r="C426" s="16" t="s">
        <v>15</v>
      </c>
      <c r="D426" s="17">
        <f>D380+D391+D401+D405+D411+D415+D423</f>
        <v>88364.299999999988</v>
      </c>
      <c r="E426" s="17">
        <f>E380+E391+E401+E405+E411+E415+E423</f>
        <v>88364.299999999988</v>
      </c>
      <c r="F426" s="17">
        <f>F380+F391+F401+F405+F411+F415+F423-0.1</f>
        <v>66301.2</v>
      </c>
      <c r="G426" s="17">
        <f>G380+G391+G401+G405+G411+G415+G423+0.1</f>
        <v>66301.200000000012</v>
      </c>
      <c r="H426" s="66" t="s">
        <v>16</v>
      </c>
      <c r="I426" s="19">
        <f t="shared" si="95"/>
        <v>0.75029999999999997</v>
      </c>
    </row>
    <row r="427" spans="1:9" s="2" customFormat="1" ht="47.25" x14ac:dyDescent="0.25">
      <c r="A427" s="107"/>
      <c r="B427" s="116"/>
      <c r="C427" s="62" t="s">
        <v>27</v>
      </c>
      <c r="D427" s="17">
        <f>D379+D389+D399</f>
        <v>18481.899999999998</v>
      </c>
      <c r="E427" s="17">
        <f>E379+E389+E399</f>
        <v>18481.899999999998</v>
      </c>
      <c r="F427" s="17">
        <f>F379+F389+F399</f>
        <v>18482</v>
      </c>
      <c r="G427" s="17">
        <f>G379+G389+G399</f>
        <v>18482</v>
      </c>
      <c r="H427" s="66" t="s">
        <v>16</v>
      </c>
      <c r="I427" s="19">
        <f t="shared" si="95"/>
        <v>1</v>
      </c>
    </row>
    <row r="428" spans="1:9" s="2" customFormat="1" ht="31.5" x14ac:dyDescent="0.25">
      <c r="A428" s="108"/>
      <c r="B428" s="117"/>
      <c r="C428" s="16" t="s">
        <v>191</v>
      </c>
      <c r="D428" s="17">
        <f>D381+D390</f>
        <v>5200</v>
      </c>
      <c r="E428" s="17">
        <f>E381+E390</f>
        <v>5200</v>
      </c>
      <c r="F428" s="17">
        <f>F381+F390</f>
        <v>4667.6000000000004</v>
      </c>
      <c r="G428" s="17">
        <f>G381+G390</f>
        <v>4667.6000000000004</v>
      </c>
      <c r="H428" s="66" t="s">
        <v>16</v>
      </c>
      <c r="I428" s="19">
        <f t="shared" si="95"/>
        <v>0.89759999999999995</v>
      </c>
    </row>
    <row r="429" spans="1:9" s="9" customFormat="1" x14ac:dyDescent="0.25">
      <c r="A429" s="48">
        <v>17</v>
      </c>
      <c r="B429" s="100" t="s">
        <v>269</v>
      </c>
      <c r="C429" s="101"/>
      <c r="D429" s="101"/>
      <c r="E429" s="101"/>
      <c r="F429" s="101"/>
      <c r="G429" s="101"/>
      <c r="H429" s="101"/>
      <c r="I429" s="102"/>
    </row>
    <row r="430" spans="1:9" s="10" customFormat="1" ht="31.5" x14ac:dyDescent="0.25">
      <c r="A430" s="63"/>
      <c r="B430" s="16" t="s">
        <v>270</v>
      </c>
      <c r="C430" s="16" t="s">
        <v>15</v>
      </c>
      <c r="D430" s="17">
        <v>455.8</v>
      </c>
      <c r="E430" s="17">
        <v>455.8</v>
      </c>
      <c r="F430" s="17">
        <v>442.9</v>
      </c>
      <c r="G430" s="17">
        <v>442.9</v>
      </c>
      <c r="H430" s="32" t="s">
        <v>271</v>
      </c>
      <c r="I430" s="27">
        <f t="shared" ref="I430:I448" si="99">ROUND(G430/E430,4)</f>
        <v>0.97170000000000001</v>
      </c>
    </row>
    <row r="431" spans="1:9" s="2" customFormat="1" ht="78.75" x14ac:dyDescent="0.25">
      <c r="A431" s="64"/>
      <c r="B431" s="21" t="s">
        <v>272</v>
      </c>
      <c r="C431" s="62" t="s">
        <v>27</v>
      </c>
      <c r="D431" s="17">
        <v>1030.2</v>
      </c>
      <c r="E431" s="17">
        <v>1030.2</v>
      </c>
      <c r="F431" s="17">
        <v>1030.2</v>
      </c>
      <c r="G431" s="17">
        <v>340</v>
      </c>
      <c r="H431" s="32" t="s">
        <v>271</v>
      </c>
      <c r="I431" s="27">
        <f t="shared" si="99"/>
        <v>0.33</v>
      </c>
    </row>
    <row r="432" spans="1:9" s="2" customFormat="1" ht="31.5" x14ac:dyDescent="0.25">
      <c r="A432" s="113"/>
      <c r="B432" s="103" t="s">
        <v>273</v>
      </c>
      <c r="C432" s="16" t="s">
        <v>15</v>
      </c>
      <c r="D432" s="17">
        <v>147.19999999999999</v>
      </c>
      <c r="E432" s="17">
        <v>147.19999999999999</v>
      </c>
      <c r="F432" s="17">
        <v>147.19999999999999</v>
      </c>
      <c r="G432" s="17">
        <v>147.19999999999999</v>
      </c>
      <c r="H432" s="32" t="s">
        <v>271</v>
      </c>
      <c r="I432" s="27">
        <f t="shared" si="99"/>
        <v>1</v>
      </c>
    </row>
    <row r="433" spans="1:9" s="2" customFormat="1" ht="47.25" x14ac:dyDescent="0.25">
      <c r="A433" s="114"/>
      <c r="B433" s="112"/>
      <c r="C433" s="62" t="s">
        <v>27</v>
      </c>
      <c r="D433" s="17">
        <v>456</v>
      </c>
      <c r="E433" s="17">
        <v>456</v>
      </c>
      <c r="F433" s="17">
        <v>456</v>
      </c>
      <c r="G433" s="17">
        <v>456</v>
      </c>
      <c r="H433" s="32" t="s">
        <v>271</v>
      </c>
      <c r="I433" s="27">
        <f t="shared" si="99"/>
        <v>1</v>
      </c>
    </row>
    <row r="434" spans="1:9" s="2" customFormat="1" ht="31.5" x14ac:dyDescent="0.25">
      <c r="A434" s="115"/>
      <c r="B434" s="104"/>
      <c r="C434" s="62" t="s">
        <v>29</v>
      </c>
      <c r="D434" s="17">
        <v>151.5</v>
      </c>
      <c r="E434" s="17">
        <v>151.5</v>
      </c>
      <c r="F434" s="17">
        <v>151.5</v>
      </c>
      <c r="G434" s="17">
        <v>151.5</v>
      </c>
      <c r="H434" s="18" t="s">
        <v>271</v>
      </c>
      <c r="I434" s="19">
        <f t="shared" si="99"/>
        <v>1</v>
      </c>
    </row>
    <row r="435" spans="1:9" s="2" customFormat="1" x14ac:dyDescent="0.25">
      <c r="A435" s="97"/>
      <c r="B435" s="94" t="s">
        <v>68</v>
      </c>
      <c r="C435" s="13" t="s">
        <v>34</v>
      </c>
      <c r="D435" s="28">
        <f>D436+D437+D438</f>
        <v>2240.6999999999998</v>
      </c>
      <c r="E435" s="28">
        <f>E436+E437+E438</f>
        <v>2240.6999999999998</v>
      </c>
      <c r="F435" s="28">
        <f>F436+F437+F438</f>
        <v>2227.8000000000002</v>
      </c>
      <c r="G435" s="28">
        <f>G436+G437+G438</f>
        <v>1537.6</v>
      </c>
      <c r="H435" s="43" t="s">
        <v>16</v>
      </c>
      <c r="I435" s="44">
        <f t="shared" si="99"/>
        <v>0.68620000000000003</v>
      </c>
    </row>
    <row r="436" spans="1:9" s="2" customFormat="1" ht="31.5" x14ac:dyDescent="0.25">
      <c r="A436" s="98"/>
      <c r="B436" s="95"/>
      <c r="C436" s="46" t="s">
        <v>15</v>
      </c>
      <c r="D436" s="47">
        <f t="shared" ref="D436:G437" si="100">D430+D432</f>
        <v>603</v>
      </c>
      <c r="E436" s="47">
        <f t="shared" si="100"/>
        <v>603</v>
      </c>
      <c r="F436" s="47">
        <f t="shared" si="100"/>
        <v>590.09999999999991</v>
      </c>
      <c r="G436" s="47">
        <f t="shared" si="100"/>
        <v>590.09999999999991</v>
      </c>
      <c r="H436" s="30" t="s">
        <v>16</v>
      </c>
      <c r="I436" s="31">
        <f t="shared" si="99"/>
        <v>0.97860000000000003</v>
      </c>
    </row>
    <row r="437" spans="1:9" s="2" customFormat="1" ht="47.25" x14ac:dyDescent="0.25">
      <c r="A437" s="82"/>
      <c r="B437" s="95"/>
      <c r="C437" s="62" t="s">
        <v>27</v>
      </c>
      <c r="D437" s="17">
        <f t="shared" si="100"/>
        <v>1486.2</v>
      </c>
      <c r="E437" s="17">
        <f t="shared" si="100"/>
        <v>1486.2</v>
      </c>
      <c r="F437" s="17">
        <f t="shared" si="100"/>
        <v>1486.2</v>
      </c>
      <c r="G437" s="17">
        <f t="shared" si="100"/>
        <v>796</v>
      </c>
      <c r="H437" s="18" t="s">
        <v>16</v>
      </c>
      <c r="I437" s="19">
        <f t="shared" si="99"/>
        <v>0.53559999999999997</v>
      </c>
    </row>
    <row r="438" spans="1:9" s="2" customFormat="1" ht="31.5" x14ac:dyDescent="0.25">
      <c r="A438" s="82"/>
      <c r="B438" s="96"/>
      <c r="C438" s="62" t="s">
        <v>29</v>
      </c>
      <c r="D438" s="17">
        <f>D434</f>
        <v>151.5</v>
      </c>
      <c r="E438" s="17">
        <f>E434</f>
        <v>151.5</v>
      </c>
      <c r="F438" s="17">
        <f>F434</f>
        <v>151.5</v>
      </c>
      <c r="G438" s="17">
        <f>G434</f>
        <v>151.5</v>
      </c>
      <c r="H438" s="18" t="s">
        <v>16</v>
      </c>
      <c r="I438" s="19">
        <f t="shared" si="99"/>
        <v>1</v>
      </c>
    </row>
    <row r="439" spans="1:9" s="9" customFormat="1" x14ac:dyDescent="0.25">
      <c r="A439" s="13">
        <v>18</v>
      </c>
      <c r="B439" s="100" t="s">
        <v>274</v>
      </c>
      <c r="C439" s="101"/>
      <c r="D439" s="101"/>
      <c r="E439" s="101"/>
      <c r="F439" s="101"/>
      <c r="G439" s="101"/>
      <c r="H439" s="101"/>
      <c r="I439" s="102"/>
    </row>
    <row r="440" spans="1:9" s="10" customFormat="1" ht="78.75" x14ac:dyDescent="0.25">
      <c r="A440" s="87"/>
      <c r="B440" s="16" t="s">
        <v>275</v>
      </c>
      <c r="C440" s="16" t="s">
        <v>15</v>
      </c>
      <c r="D440" s="17">
        <v>115</v>
      </c>
      <c r="E440" s="17">
        <v>115</v>
      </c>
      <c r="F440" s="17">
        <v>115</v>
      </c>
      <c r="G440" s="17">
        <v>115</v>
      </c>
      <c r="H440" s="18" t="s">
        <v>16</v>
      </c>
      <c r="I440" s="19">
        <f t="shared" si="99"/>
        <v>1</v>
      </c>
    </row>
    <row r="441" spans="1:9" s="10" customFormat="1" ht="94.5" x14ac:dyDescent="0.25">
      <c r="A441" s="87"/>
      <c r="B441" s="16" t="s">
        <v>276</v>
      </c>
      <c r="C441" s="16" t="s">
        <v>15</v>
      </c>
      <c r="D441" s="17">
        <v>25</v>
      </c>
      <c r="E441" s="17">
        <v>25</v>
      </c>
      <c r="F441" s="17">
        <v>25</v>
      </c>
      <c r="G441" s="17">
        <v>25</v>
      </c>
      <c r="H441" s="18" t="s">
        <v>16</v>
      </c>
      <c r="I441" s="19">
        <f t="shared" si="99"/>
        <v>1</v>
      </c>
    </row>
    <row r="442" spans="1:9" s="2" customFormat="1" ht="31.5" x14ac:dyDescent="0.25">
      <c r="A442" s="87"/>
      <c r="B442" s="16" t="s">
        <v>277</v>
      </c>
      <c r="C442" s="16" t="s">
        <v>15</v>
      </c>
      <c r="D442" s="17">
        <v>50</v>
      </c>
      <c r="E442" s="17">
        <v>50</v>
      </c>
      <c r="F442" s="17">
        <v>50</v>
      </c>
      <c r="G442" s="17">
        <v>50</v>
      </c>
      <c r="H442" s="18" t="s">
        <v>16</v>
      </c>
      <c r="I442" s="19">
        <f t="shared" si="99"/>
        <v>1</v>
      </c>
    </row>
    <row r="443" spans="1:9" s="10" customFormat="1" ht="31.5" x14ac:dyDescent="0.25">
      <c r="A443" s="88"/>
      <c r="B443" s="52" t="s">
        <v>68</v>
      </c>
      <c r="C443" s="13" t="s">
        <v>15</v>
      </c>
      <c r="D443" s="28">
        <f>D440+D441+D442</f>
        <v>190</v>
      </c>
      <c r="E443" s="28">
        <f>E440+E441+E442</f>
        <v>190</v>
      </c>
      <c r="F443" s="28">
        <f>F440+F441+F442</f>
        <v>190</v>
      </c>
      <c r="G443" s="28">
        <f>G440+G441+G442</f>
        <v>190</v>
      </c>
      <c r="H443" s="43" t="s">
        <v>16</v>
      </c>
      <c r="I443" s="44">
        <f t="shared" si="99"/>
        <v>1</v>
      </c>
    </row>
    <row r="444" spans="1:9" s="10" customFormat="1" x14ac:dyDescent="0.25">
      <c r="A444" s="97"/>
      <c r="B444" s="94" t="s">
        <v>278</v>
      </c>
      <c r="C444" s="56" t="s">
        <v>34</v>
      </c>
      <c r="D444" s="57">
        <f>D446+D447+D448+D445+0.1</f>
        <v>4540388.3999999994</v>
      </c>
      <c r="E444" s="57">
        <f>E446+E447+E448+E445+0.1</f>
        <v>4495637.5</v>
      </c>
      <c r="F444" s="57">
        <f>F446+F447+F448+F445</f>
        <v>4316881.5999999996</v>
      </c>
      <c r="G444" s="57">
        <f t="shared" ref="G444" si="101">G446+G447+G448+G445</f>
        <v>4314467.3</v>
      </c>
      <c r="H444" s="43" t="s">
        <v>16</v>
      </c>
      <c r="I444" s="44">
        <f t="shared" si="99"/>
        <v>0.9597</v>
      </c>
    </row>
    <row r="445" spans="1:9" s="10" customFormat="1" ht="31.5" x14ac:dyDescent="0.25">
      <c r="A445" s="98"/>
      <c r="B445" s="95"/>
      <c r="C445" s="46" t="s">
        <v>29</v>
      </c>
      <c r="D445" s="89">
        <f>D98+D108+D425+D438-0.1</f>
        <v>573021.1</v>
      </c>
      <c r="E445" s="89">
        <f>E98+E108+E425+E438</f>
        <v>573021.19999999995</v>
      </c>
      <c r="F445" s="89">
        <f>F98+F108+F425+F438</f>
        <v>563314.1</v>
      </c>
      <c r="G445" s="89">
        <f>G98+G108+G425+G438-0.1</f>
        <v>563314</v>
      </c>
      <c r="H445" s="36" t="s">
        <v>16</v>
      </c>
      <c r="I445" s="39">
        <f t="shared" si="99"/>
        <v>0.98309999999999997</v>
      </c>
    </row>
    <row r="446" spans="1:9" s="10" customFormat="1" ht="31.5" x14ac:dyDescent="0.25">
      <c r="A446" s="98"/>
      <c r="B446" s="95"/>
      <c r="C446" s="16" t="s">
        <v>15</v>
      </c>
      <c r="D446" s="17">
        <f>D96+D109+D122+D135+D167+D172+D188+D207+D228+D236+D245+D263+D333+D353+D426+D436+D443</f>
        <v>2001535.3000000003</v>
      </c>
      <c r="E446" s="17">
        <f>E96+E109+E122+E135+E167+E172+E188+E207+E228+E236+E245+E263+E333+E353+E426+E436+E443</f>
        <v>2001535.3000000003</v>
      </c>
      <c r="F446" s="17">
        <f>F96+F109+F122+F135+F167+F172+F188+F207+F228+F236+F245+F263+F333+F353+F426+F436+F443</f>
        <v>1851242.1</v>
      </c>
      <c r="G446" s="17">
        <f>G96+G109+G122+G135+G167+G172+G188+G207+G228+G236+G245+G263+G333+G353+G426+G436+G443</f>
        <v>1850825.9</v>
      </c>
      <c r="H446" s="18" t="s">
        <v>16</v>
      </c>
      <c r="I446" s="19">
        <f t="shared" si="99"/>
        <v>0.92469999999999997</v>
      </c>
    </row>
    <row r="447" spans="1:9" s="4" customFormat="1" ht="31.5" x14ac:dyDescent="0.25">
      <c r="A447" s="98"/>
      <c r="B447" s="95"/>
      <c r="C447" s="16" t="s">
        <v>191</v>
      </c>
      <c r="D447" s="17">
        <f>D335+D428</f>
        <v>9849.6</v>
      </c>
      <c r="E447" s="17">
        <f>E335+E428</f>
        <v>9849.6</v>
      </c>
      <c r="F447" s="17">
        <f>F335+F428</f>
        <v>9317.2000000000007</v>
      </c>
      <c r="G447" s="17">
        <f>G335+G428</f>
        <v>9317.2000000000007</v>
      </c>
      <c r="H447" s="18" t="s">
        <v>16</v>
      </c>
      <c r="I447" s="19">
        <f t="shared" si="99"/>
        <v>0.94589999999999996</v>
      </c>
    </row>
    <row r="448" spans="1:9" s="4" customFormat="1" ht="47.25" x14ac:dyDescent="0.25">
      <c r="A448" s="99"/>
      <c r="B448" s="96"/>
      <c r="C448" s="16" t="s">
        <v>27</v>
      </c>
      <c r="D448" s="17">
        <f>D437+D427+D354+D334+D246+D229+D189+D168+D134+D123+D110+D97</f>
        <v>1955982.2999999998</v>
      </c>
      <c r="E448" s="17">
        <f>E437+E427+E354+E334+E246+E229+E189+E168+E134+E123+E110+E97</f>
        <v>1911231.2999999998</v>
      </c>
      <c r="F448" s="17">
        <f>F437+F427+F354+F334+F246+F229+F189+F168+F134+F123+F110+F97</f>
        <v>1893008.2</v>
      </c>
      <c r="G448" s="17">
        <f>G437+G427+G354+G334+G246+G229+G189+G168+G134+G123+G110+G97-0.1</f>
        <v>1891010.1999999997</v>
      </c>
      <c r="H448" s="18" t="s">
        <v>16</v>
      </c>
      <c r="I448" s="19">
        <f t="shared" si="99"/>
        <v>0.98939999999999995</v>
      </c>
    </row>
    <row r="449" spans="1:9" s="3" customFormat="1" x14ac:dyDescent="0.25">
      <c r="A449" s="90"/>
      <c r="B449" s="91"/>
      <c r="C449" s="92"/>
      <c r="D449" s="93"/>
      <c r="E449" s="93"/>
      <c r="F449" s="93"/>
      <c r="G449" s="93"/>
      <c r="H449" s="7"/>
      <c r="I449" s="6"/>
    </row>
    <row r="450" spans="1:9" s="3" customFormat="1" x14ac:dyDescent="0.25">
      <c r="A450" s="90"/>
      <c r="B450" s="91"/>
      <c r="C450" s="92"/>
      <c r="D450" s="93"/>
      <c r="E450" s="93"/>
      <c r="F450" s="93"/>
      <c r="G450" s="93"/>
      <c r="H450" s="7"/>
      <c r="I450" s="6"/>
    </row>
    <row r="451" spans="1:9" s="3" customFormat="1" x14ac:dyDescent="0.25">
      <c r="A451" s="1"/>
      <c r="B451" s="12"/>
      <c r="C451" s="1"/>
      <c r="H451" s="5"/>
      <c r="I451" s="6"/>
    </row>
    <row r="452" spans="1:9" s="3" customFormat="1" x14ac:dyDescent="0.25">
      <c r="A452" s="1"/>
      <c r="B452" s="12"/>
      <c r="C452" s="1"/>
      <c r="D452" s="1"/>
      <c r="E452" s="1"/>
      <c r="F452" s="1"/>
      <c r="G452" s="1"/>
      <c r="H452" s="5"/>
      <c r="I452" s="6"/>
    </row>
    <row r="453" spans="1:9" s="3" customFormat="1" x14ac:dyDescent="0.25">
      <c r="A453" s="1"/>
      <c r="B453" s="12"/>
      <c r="C453" s="1"/>
      <c r="D453" s="1"/>
      <c r="E453" s="1"/>
      <c r="F453" s="1"/>
      <c r="G453" s="1"/>
      <c r="H453" s="5"/>
      <c r="I453" s="6"/>
    </row>
  </sheetData>
  <mergeCells count="150">
    <mergeCell ref="A4:I4"/>
    <mergeCell ref="A3:I3"/>
    <mergeCell ref="A2:I2"/>
    <mergeCell ref="A1:I1"/>
    <mergeCell ref="A406:I406"/>
    <mergeCell ref="A409:A411"/>
    <mergeCell ref="B409:B411"/>
    <mergeCell ref="A382:I382"/>
    <mergeCell ref="A388:A391"/>
    <mergeCell ref="B388:B391"/>
    <mergeCell ref="A392:I392"/>
    <mergeCell ref="A398:A401"/>
    <mergeCell ref="B398:B401"/>
    <mergeCell ref="B404:B405"/>
    <mergeCell ref="A404:A405"/>
    <mergeCell ref="A402:I402"/>
    <mergeCell ref="A352:A353"/>
    <mergeCell ref="B352:B354"/>
    <mergeCell ref="B355:I355"/>
    <mergeCell ref="A356:I356"/>
    <mergeCell ref="A378:A380"/>
    <mergeCell ref="B378:B381"/>
    <mergeCell ref="B328:I328"/>
    <mergeCell ref="A330:A331"/>
    <mergeCell ref="B330:B331"/>
    <mergeCell ref="A332:A335"/>
    <mergeCell ref="B332:B335"/>
    <mergeCell ref="B336:I336"/>
    <mergeCell ref="B347:B348"/>
    <mergeCell ref="A347:A348"/>
    <mergeCell ref="B264:I264"/>
    <mergeCell ref="A265:I265"/>
    <mergeCell ref="A304:A307"/>
    <mergeCell ref="B304:B307"/>
    <mergeCell ref="A308:I308"/>
    <mergeCell ref="A324:A327"/>
    <mergeCell ref="B324:B327"/>
    <mergeCell ref="A244:A246"/>
    <mergeCell ref="B244:B246"/>
    <mergeCell ref="B247:I247"/>
    <mergeCell ref="A248:I248"/>
    <mergeCell ref="A253:I253"/>
    <mergeCell ref="A259:I259"/>
    <mergeCell ref="A227:A229"/>
    <mergeCell ref="B227:B229"/>
    <mergeCell ref="B230:I230"/>
    <mergeCell ref="A235:A236"/>
    <mergeCell ref="B235:B236"/>
    <mergeCell ref="B237:I237"/>
    <mergeCell ref="B209:I209"/>
    <mergeCell ref="A217:A218"/>
    <mergeCell ref="B217:B218"/>
    <mergeCell ref="A219:I219"/>
    <mergeCell ref="A224:A226"/>
    <mergeCell ref="B224:B226"/>
    <mergeCell ref="B201:I201"/>
    <mergeCell ref="A204:A205"/>
    <mergeCell ref="B204:B205"/>
    <mergeCell ref="A206:A207"/>
    <mergeCell ref="B206:B207"/>
    <mergeCell ref="B208:I208"/>
    <mergeCell ref="B190:I190"/>
    <mergeCell ref="A191:I191"/>
    <mergeCell ref="A193:A194"/>
    <mergeCell ref="B193:B194"/>
    <mergeCell ref="A195:I195"/>
    <mergeCell ref="A199:A200"/>
    <mergeCell ref="B199:B200"/>
    <mergeCell ref="A174:I174"/>
    <mergeCell ref="A177:I177"/>
    <mergeCell ref="A184:A186"/>
    <mergeCell ref="B184:B186"/>
    <mergeCell ref="A187:A189"/>
    <mergeCell ref="B187:B189"/>
    <mergeCell ref="A166:A168"/>
    <mergeCell ref="B166:B168"/>
    <mergeCell ref="B169:I169"/>
    <mergeCell ref="A171:A172"/>
    <mergeCell ref="B171:B172"/>
    <mergeCell ref="B173:I173"/>
    <mergeCell ref="A145:I145"/>
    <mergeCell ref="A158:A160"/>
    <mergeCell ref="B158:B160"/>
    <mergeCell ref="A161:I161"/>
    <mergeCell ref="A164:A165"/>
    <mergeCell ref="B164:B165"/>
    <mergeCell ref="B136:I136"/>
    <mergeCell ref="A137:I137"/>
    <mergeCell ref="A142:A144"/>
    <mergeCell ref="B142:B144"/>
    <mergeCell ref="B99:I99"/>
    <mergeCell ref="A107:A110"/>
    <mergeCell ref="B107:B110"/>
    <mergeCell ref="B111:I111"/>
    <mergeCell ref="A121:A123"/>
    <mergeCell ref="B121:B123"/>
    <mergeCell ref="B124:I124"/>
    <mergeCell ref="A62:A63"/>
    <mergeCell ref="B62:B63"/>
    <mergeCell ref="A71:A74"/>
    <mergeCell ref="B71:B74"/>
    <mergeCell ref="B75:I75"/>
    <mergeCell ref="A87:A89"/>
    <mergeCell ref="B87:B89"/>
    <mergeCell ref="A47:A49"/>
    <mergeCell ref="B47:B49"/>
    <mergeCell ref="B50:I50"/>
    <mergeCell ref="A25:A26"/>
    <mergeCell ref="B25:B26"/>
    <mergeCell ref="A30:A33"/>
    <mergeCell ref="B30:B33"/>
    <mergeCell ref="B34:I34"/>
    <mergeCell ref="A38:A40"/>
    <mergeCell ref="B38:B40"/>
    <mergeCell ref="B41:I41"/>
    <mergeCell ref="H6:I7"/>
    <mergeCell ref="B8:I8"/>
    <mergeCell ref="B9:I9"/>
    <mergeCell ref="A20:A22"/>
    <mergeCell ref="B20:B22"/>
    <mergeCell ref="A6:A7"/>
    <mergeCell ref="B6:B7"/>
    <mergeCell ref="C6:C7"/>
    <mergeCell ref="D6:D7"/>
    <mergeCell ref="E6:E7"/>
    <mergeCell ref="F6:G6"/>
    <mergeCell ref="B444:B448"/>
    <mergeCell ref="A444:A448"/>
    <mergeCell ref="B439:I439"/>
    <mergeCell ref="B23:B24"/>
    <mergeCell ref="B421:B423"/>
    <mergeCell ref="A421:A423"/>
    <mergeCell ref="A416:I416"/>
    <mergeCell ref="B414:B415"/>
    <mergeCell ref="A414:A415"/>
    <mergeCell ref="A412:I412"/>
    <mergeCell ref="B435:B438"/>
    <mergeCell ref="A435:A436"/>
    <mergeCell ref="B432:B434"/>
    <mergeCell ref="A432:A434"/>
    <mergeCell ref="B429:I429"/>
    <mergeCell ref="B424:B428"/>
    <mergeCell ref="A424:A428"/>
    <mergeCell ref="A133:A135"/>
    <mergeCell ref="B133:B135"/>
    <mergeCell ref="B90:I90"/>
    <mergeCell ref="A93:A94"/>
    <mergeCell ref="B93:B94"/>
    <mergeCell ref="A95:A98"/>
    <mergeCell ref="B95:B98"/>
  </mergeCells>
  <pageMargins left="0.78740157480314965" right="0.39370078740157483" top="0.39370078740157483" bottom="0.3937007874015748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oer02</dc:creator>
  <cp:lastModifiedBy>Павлова Кристина Андреевна</cp:lastModifiedBy>
  <cp:lastPrinted>2025-04-07T08:27:22Z</cp:lastPrinted>
  <dcterms:created xsi:type="dcterms:W3CDTF">2024-12-12T08:41:29Z</dcterms:created>
  <dcterms:modified xsi:type="dcterms:W3CDTF">2025-04-07T15:31:46Z</dcterms:modified>
</cp:coreProperties>
</file>