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BF1450EB-D629-46AB-B472-2C0863B8CF6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отчёт" sheetId="12" r:id="rId1"/>
  </sheets>
  <definedNames>
    <definedName name="_xlnm._FilterDatabase" localSheetId="0" hidden="1">отчёт!$A$7:$N$414</definedName>
    <definedName name="_xlnm.Print_Area" localSheetId="0">отчёт!$A$1:$I$414</definedName>
  </definedNames>
  <calcPr calcId="191029" calcOnSave="0"/>
</workbook>
</file>

<file path=xl/calcChain.xml><?xml version="1.0" encoding="utf-8"?>
<calcChain xmlns="http://schemas.openxmlformats.org/spreadsheetml/2006/main">
  <c r="I411" i="12" l="1"/>
  <c r="I412" i="12"/>
  <c r="I413" i="12"/>
  <c r="I414" i="12"/>
  <c r="I410" i="12"/>
  <c r="G412" i="12"/>
  <c r="E412" i="12"/>
  <c r="E413" i="12"/>
  <c r="D413" i="12"/>
  <c r="D412" i="12"/>
  <c r="I408" i="12"/>
  <c r="I409" i="12"/>
  <c r="I401" i="12"/>
  <c r="I402" i="12"/>
  <c r="I403" i="12"/>
  <c r="I404" i="12"/>
  <c r="I400" i="12"/>
  <c r="F397" i="12"/>
  <c r="E397" i="12"/>
  <c r="G386" i="12"/>
  <c r="G368" i="12"/>
  <c r="F363" i="12"/>
  <c r="G363" i="12"/>
  <c r="E363" i="12"/>
  <c r="I360" i="12"/>
  <c r="G352" i="12"/>
  <c r="I329" i="12"/>
  <c r="I330" i="12"/>
  <c r="I328" i="12"/>
  <c r="G329" i="12"/>
  <c r="F329" i="12"/>
  <c r="E329" i="12"/>
  <c r="D329" i="12"/>
  <c r="E330" i="12"/>
  <c r="F330" i="12"/>
  <c r="G330" i="12"/>
  <c r="D330" i="12"/>
  <c r="I327" i="12"/>
  <c r="I326" i="12"/>
  <c r="I322" i="12"/>
  <c r="G317" i="12"/>
  <c r="F317" i="12"/>
  <c r="E317" i="12"/>
  <c r="D317" i="12"/>
  <c r="G316" i="12"/>
  <c r="F316" i="12"/>
  <c r="E316" i="12"/>
  <c r="E315" i="12"/>
  <c r="D315" i="12"/>
  <c r="G314" i="12"/>
  <c r="F314" i="12"/>
  <c r="E314" i="12"/>
  <c r="F310" i="12"/>
  <c r="D310" i="12"/>
  <c r="I310" i="12" s="1"/>
  <c r="I307" i="12"/>
  <c r="I308" i="12"/>
  <c r="I306" i="12"/>
  <c r="G302" i="12"/>
  <c r="F302" i="12"/>
  <c r="D302" i="12"/>
  <c r="F298" i="12"/>
  <c r="E298" i="12"/>
  <c r="D298" i="12"/>
  <c r="I291" i="12"/>
  <c r="G284" i="12"/>
  <c r="G285" i="12"/>
  <c r="G286" i="12"/>
  <c r="F284" i="12"/>
  <c r="E286" i="12"/>
  <c r="E285" i="12"/>
  <c r="F285" i="12"/>
  <c r="E284" i="12"/>
  <c r="F286" i="12"/>
  <c r="D286" i="12"/>
  <c r="I282" i="12"/>
  <c r="G247" i="12"/>
  <c r="I244" i="12"/>
  <c r="I242" i="12"/>
  <c r="I241" i="12"/>
  <c r="G234" i="12"/>
  <c r="E234" i="12"/>
  <c r="F234" i="12"/>
  <c r="E233" i="12"/>
  <c r="I228" i="12"/>
  <c r="I227" i="12"/>
  <c r="G224" i="12"/>
  <c r="F224" i="12"/>
  <c r="G209" i="12"/>
  <c r="F209" i="12"/>
  <c r="E209" i="12"/>
  <c r="D209" i="12"/>
  <c r="G207" i="12"/>
  <c r="F207" i="12"/>
  <c r="G205" i="12"/>
  <c r="F205" i="12"/>
  <c r="E205" i="12"/>
  <c r="D205" i="12"/>
  <c r="I199" i="12"/>
  <c r="I200" i="12"/>
  <c r="I201" i="12"/>
  <c r="I198" i="12"/>
  <c r="I196" i="12"/>
  <c r="I168" i="12"/>
  <c r="I165" i="12"/>
  <c r="I164" i="12"/>
  <c r="I163" i="12"/>
  <c r="G163" i="12"/>
  <c r="F163" i="12"/>
  <c r="E163" i="12"/>
  <c r="D163" i="12"/>
  <c r="G159" i="12"/>
  <c r="F159" i="12"/>
  <c r="E160" i="12"/>
  <c r="F160" i="12"/>
  <c r="G160" i="12"/>
  <c r="D160" i="12"/>
  <c r="G148" i="12"/>
  <c r="F148" i="12"/>
  <c r="G146" i="12"/>
  <c r="G149" i="12" s="1"/>
  <c r="F146" i="12"/>
  <c r="E146" i="12"/>
  <c r="D146" i="12"/>
  <c r="E147" i="12"/>
  <c r="F149" i="12"/>
  <c r="E149" i="12"/>
  <c r="D149" i="12"/>
  <c r="D147" i="12" s="1"/>
  <c r="G137" i="12"/>
  <c r="F137" i="12"/>
  <c r="E137" i="12"/>
  <c r="G138" i="12"/>
  <c r="F138" i="12"/>
  <c r="E138" i="12"/>
  <c r="D138" i="12"/>
  <c r="I135" i="12"/>
  <c r="I126" i="12"/>
  <c r="F128" i="12"/>
  <c r="D128" i="12"/>
  <c r="D127" i="12"/>
  <c r="G125" i="12"/>
  <c r="F125" i="12"/>
  <c r="E125" i="12"/>
  <c r="D125" i="12"/>
  <c r="I125" i="12"/>
  <c r="I109" i="12"/>
  <c r="I106" i="12"/>
  <c r="E109" i="12"/>
  <c r="G96" i="12"/>
  <c r="F96" i="12"/>
  <c r="E96" i="12"/>
  <c r="D96" i="12"/>
  <c r="E97" i="12"/>
  <c r="F97" i="12"/>
  <c r="G97" i="12"/>
  <c r="D97" i="12"/>
  <c r="G92" i="12"/>
  <c r="F92" i="12"/>
  <c r="E92" i="12"/>
  <c r="D92" i="12"/>
  <c r="G94" i="12"/>
  <c r="I94" i="12" s="1"/>
  <c r="F94" i="12"/>
  <c r="E94" i="12"/>
  <c r="D94" i="12"/>
  <c r="I91" i="12"/>
  <c r="E87" i="12"/>
  <c r="F87" i="12"/>
  <c r="G87" i="12"/>
  <c r="E86" i="12"/>
  <c r="F86" i="12"/>
  <c r="G86" i="12"/>
  <c r="D86" i="12"/>
  <c r="D87" i="12"/>
  <c r="I84" i="12"/>
  <c r="I83" i="12"/>
  <c r="I82" i="12"/>
  <c r="I81" i="12"/>
  <c r="I80" i="12"/>
  <c r="G70" i="12"/>
  <c r="G69" i="12"/>
  <c r="F71" i="12"/>
  <c r="F70" i="12"/>
  <c r="F69" i="12"/>
  <c r="E71" i="12"/>
  <c r="E70" i="12"/>
  <c r="E69" i="12"/>
  <c r="D69" i="12"/>
  <c r="D70" i="12"/>
  <c r="G66" i="12"/>
  <c r="G71" i="12" s="1"/>
  <c r="F66" i="12"/>
  <c r="E66" i="12"/>
  <c r="D66" i="12"/>
  <c r="D71" i="12" s="1"/>
  <c r="F44" i="12"/>
  <c r="E44" i="12"/>
  <c r="D44" i="12"/>
  <c r="G45" i="12"/>
  <c r="F45" i="12"/>
  <c r="E45" i="12"/>
  <c r="D45" i="12"/>
  <c r="I42" i="12"/>
  <c r="I41" i="12"/>
  <c r="G33" i="12"/>
  <c r="E26" i="12"/>
  <c r="E24" i="12"/>
  <c r="D26" i="12"/>
  <c r="D24" i="12"/>
  <c r="G147" i="12" l="1"/>
  <c r="F147" i="12"/>
  <c r="I149" i="12"/>
  <c r="I146" i="12"/>
  <c r="G215" i="12"/>
  <c r="F215" i="12"/>
  <c r="I205" i="12"/>
  <c r="G288" i="12" l="1"/>
  <c r="G298" i="12"/>
  <c r="G304" i="12" s="1"/>
  <c r="F304" i="12"/>
  <c r="E304" i="12"/>
  <c r="D304" i="12" l="1"/>
  <c r="I298" i="12"/>
  <c r="F288" i="12"/>
  <c r="E288" i="12"/>
  <c r="E302" i="12" s="1"/>
  <c r="D288" i="12"/>
  <c r="F311" i="12"/>
  <c r="D284" i="12"/>
  <c r="I280" i="12"/>
  <c r="I273" i="12"/>
  <c r="I250" i="12"/>
  <c r="I258" i="12"/>
  <c r="I256" i="12"/>
  <c r="I288" i="12" l="1"/>
  <c r="D409" i="12"/>
  <c r="E352" i="12" l="1"/>
  <c r="D352" i="12"/>
  <c r="I325" i="12"/>
  <c r="I324" i="12"/>
  <c r="D314" i="12"/>
  <c r="G315" i="12"/>
  <c r="F315" i="12"/>
  <c r="E238" i="12"/>
  <c r="E235" i="12"/>
  <c r="G233" i="12"/>
  <c r="F233" i="12"/>
  <c r="I222" i="12"/>
  <c r="E224" i="12"/>
  <c r="E223" i="12" s="1"/>
  <c r="D224" i="12"/>
  <c r="E207" i="12" l="1"/>
  <c r="E217" i="12" s="1"/>
  <c r="D207" i="12"/>
  <c r="I204" i="12"/>
  <c r="E179" i="12"/>
  <c r="E180" i="12"/>
  <c r="D179" i="12"/>
  <c r="F179" i="12"/>
  <c r="G179" i="12"/>
  <c r="F180" i="12"/>
  <c r="G180" i="12"/>
  <c r="D180" i="12"/>
  <c r="I176" i="12"/>
  <c r="I104" i="12"/>
  <c r="G26" i="12"/>
  <c r="F26" i="12"/>
  <c r="E25" i="12"/>
  <c r="E128" i="12" l="1"/>
  <c r="F303" i="12"/>
  <c r="D376" i="12"/>
  <c r="D372" i="12"/>
  <c r="E403" i="12"/>
  <c r="F403" i="12"/>
  <c r="G403" i="12"/>
  <c r="E404" i="12"/>
  <c r="F404" i="12"/>
  <c r="G404" i="12"/>
  <c r="D403" i="12"/>
  <c r="D404" i="12"/>
  <c r="E353" i="12"/>
  <c r="E354" i="12"/>
  <c r="I389" i="12"/>
  <c r="I390" i="12"/>
  <c r="I388" i="12"/>
  <c r="F392" i="12"/>
  <c r="G392" i="12"/>
  <c r="F393" i="12"/>
  <c r="G393" i="12"/>
  <c r="F394" i="12"/>
  <c r="G394" i="12"/>
  <c r="E392" i="12"/>
  <c r="E393" i="12"/>
  <c r="E394" i="12"/>
  <c r="D394" i="12"/>
  <c r="D393" i="12"/>
  <c r="D392" i="12"/>
  <c r="E386" i="12"/>
  <c r="E385" i="12" s="1"/>
  <c r="F386" i="12"/>
  <c r="F385" i="12" s="1"/>
  <c r="G385" i="12"/>
  <c r="D386" i="12"/>
  <c r="D385" i="12" s="1"/>
  <c r="F301" i="12" l="1"/>
  <c r="I394" i="12"/>
  <c r="D402" i="12"/>
  <c r="G402" i="12"/>
  <c r="F402" i="12"/>
  <c r="E402" i="12"/>
  <c r="E396" i="12"/>
  <c r="E391" i="12"/>
  <c r="I393" i="12"/>
  <c r="G391" i="12"/>
  <c r="F391" i="12"/>
  <c r="D391" i="12"/>
  <c r="I392" i="12"/>
  <c r="E368" i="12"/>
  <c r="E367" i="12" s="1"/>
  <c r="F368" i="12"/>
  <c r="F367" i="12" s="1"/>
  <c r="G367" i="12"/>
  <c r="D368" i="12"/>
  <c r="D367" i="12" s="1"/>
  <c r="E362" i="12"/>
  <c r="E398" i="12" s="1"/>
  <c r="F362" i="12"/>
  <c r="G362" i="12"/>
  <c r="D363" i="12"/>
  <c r="I357" i="12"/>
  <c r="D362" i="12"/>
  <c r="F352" i="12"/>
  <c r="F396" i="12" s="1"/>
  <c r="G396" i="12"/>
  <c r="F353" i="12"/>
  <c r="G353" i="12"/>
  <c r="F354" i="12"/>
  <c r="G354" i="12"/>
  <c r="D354" i="12"/>
  <c r="D396" i="12"/>
  <c r="I348" i="12"/>
  <c r="I349" i="12"/>
  <c r="D353" i="12"/>
  <c r="D398" i="12" s="1"/>
  <c r="D316" i="12"/>
  <c r="E303" i="12"/>
  <c r="G303" i="12"/>
  <c r="G301" i="12" s="1"/>
  <c r="I289" i="12"/>
  <c r="F312" i="12"/>
  <c r="I391" i="12" l="1"/>
  <c r="G398" i="12"/>
  <c r="F398" i="12"/>
  <c r="E361" i="12"/>
  <c r="F351" i="12"/>
  <c r="E351" i="12"/>
  <c r="D361" i="12"/>
  <c r="F361" i="12"/>
  <c r="G361" i="12"/>
  <c r="G351" i="12"/>
  <c r="D351" i="12"/>
  <c r="I271" i="12"/>
  <c r="D285" i="12"/>
  <c r="D283" i="12" s="1"/>
  <c r="D238" i="12" l="1"/>
  <c r="E236" i="12"/>
  <c r="D235" i="12"/>
  <c r="D234" i="12"/>
  <c r="D233" i="12"/>
  <c r="E230" i="12"/>
  <c r="E229" i="12" s="1"/>
  <c r="F230" i="12"/>
  <c r="F229" i="12" s="1"/>
  <c r="G230" i="12"/>
  <c r="G229" i="12" s="1"/>
  <c r="D230" i="12"/>
  <c r="D229" i="12" s="1"/>
  <c r="G214" i="12"/>
  <c r="G213" i="12" l="1"/>
  <c r="G217" i="12"/>
  <c r="I152" i="12"/>
  <c r="I153" i="12"/>
  <c r="I154" i="12"/>
  <c r="E156" i="12"/>
  <c r="F156" i="12"/>
  <c r="F161" i="12" s="1"/>
  <c r="G156" i="12"/>
  <c r="E157" i="12"/>
  <c r="F157" i="12"/>
  <c r="G157" i="12"/>
  <c r="I157" i="12" s="1"/>
  <c r="D157" i="12"/>
  <c r="D156" i="12"/>
  <c r="D161" i="12" s="1"/>
  <c r="E148" i="12"/>
  <c r="D148" i="12"/>
  <c r="G128" i="12"/>
  <c r="F127" i="12"/>
  <c r="E127" i="12"/>
  <c r="I120" i="12"/>
  <c r="E122" i="12"/>
  <c r="F122" i="12"/>
  <c r="G122" i="12"/>
  <c r="E123" i="12"/>
  <c r="F123" i="12"/>
  <c r="G123" i="12"/>
  <c r="D122" i="12"/>
  <c r="G127" i="12" l="1"/>
  <c r="I127" i="12" s="1"/>
  <c r="I128" i="12"/>
  <c r="E155" i="12"/>
  <c r="D155" i="12"/>
  <c r="E161" i="12"/>
  <c r="G155" i="12"/>
  <c r="G161" i="12"/>
  <c r="F155" i="12"/>
  <c r="I67" i="12"/>
  <c r="I58" i="12"/>
  <c r="I56" i="12"/>
  <c r="I63" i="12"/>
  <c r="I161" i="12" l="1"/>
  <c r="G44" i="12"/>
  <c r="F24" i="12"/>
  <c r="G24" i="12"/>
  <c r="F25" i="12"/>
  <c r="G25" i="12"/>
  <c r="D25" i="12"/>
  <c r="D23" i="12" l="1"/>
  <c r="G23" i="12"/>
  <c r="F23" i="12"/>
  <c r="E23" i="12"/>
  <c r="E108" i="12"/>
  <c r="F108" i="12"/>
  <c r="G108" i="12"/>
  <c r="F109" i="12"/>
  <c r="G109" i="12"/>
  <c r="E107" i="12"/>
  <c r="F107" i="12"/>
  <c r="G107" i="12"/>
  <c r="D107" i="12"/>
  <c r="D109" i="12"/>
  <c r="I21" i="12"/>
  <c r="I19" i="12"/>
  <c r="G106" i="12" l="1"/>
  <c r="F242" i="12"/>
  <c r="G242" i="12"/>
  <c r="I226" i="12"/>
  <c r="C156" i="12" l="1"/>
  <c r="E380" i="12"/>
  <c r="E379" i="12" s="1"/>
  <c r="F380" i="12"/>
  <c r="F379" i="12" s="1"/>
  <c r="G380" i="12"/>
  <c r="G379" i="12" s="1"/>
  <c r="I343" i="12"/>
  <c r="I344" i="12"/>
  <c r="I323" i="12"/>
  <c r="I384" i="12"/>
  <c r="I383" i="12"/>
  <c r="I382" i="12"/>
  <c r="I365" i="12"/>
  <c r="I366" i="12"/>
  <c r="I358" i="12"/>
  <c r="I359" i="12"/>
  <c r="I356" i="12"/>
  <c r="I334" i="12"/>
  <c r="I335" i="12"/>
  <c r="I336" i="12"/>
  <c r="I337" i="12"/>
  <c r="I338" i="12"/>
  <c r="I339" i="12"/>
  <c r="I340" i="12"/>
  <c r="I341" i="12"/>
  <c r="I342" i="12"/>
  <c r="I345" i="12"/>
  <c r="I346" i="12"/>
  <c r="I347" i="12"/>
  <c r="I333" i="12"/>
  <c r="I245" i="12"/>
  <c r="I406" i="12"/>
  <c r="I142" i="12"/>
  <c r="E159" i="12"/>
  <c r="D137" i="12"/>
  <c r="D159" i="12" s="1"/>
  <c r="I105" i="12"/>
  <c r="I102" i="12"/>
  <c r="I101" i="12"/>
  <c r="I103" i="12"/>
  <c r="I100" i="12"/>
  <c r="G93" i="12"/>
  <c r="E32" i="12"/>
  <c r="E33" i="12"/>
  <c r="E93" i="12"/>
  <c r="F93" i="12"/>
  <c r="I159" i="12" l="1"/>
  <c r="I107" i="12"/>
  <c r="E98" i="12"/>
  <c r="E411" i="12" s="1"/>
  <c r="E68" i="12"/>
  <c r="E31" i="12"/>
  <c r="E43" i="12"/>
  <c r="E85" i="12"/>
  <c r="E95" i="12" l="1"/>
  <c r="D194" i="12" l="1"/>
  <c r="I221" i="12" l="1"/>
  <c r="I220" i="12"/>
  <c r="D223" i="12"/>
  <c r="I224" i="12" l="1"/>
  <c r="I210" i="12" l="1"/>
  <c r="I211" i="12"/>
  <c r="I212" i="12"/>
  <c r="I209" i="12"/>
  <c r="E214" i="12"/>
  <c r="F214" i="12"/>
  <c r="F217" i="12" s="1"/>
  <c r="E215" i="12"/>
  <c r="E218" i="12" s="1"/>
  <c r="F218" i="12"/>
  <c r="D215" i="12"/>
  <c r="D218" i="12" s="1"/>
  <c r="D214" i="12"/>
  <c r="D217" i="12" s="1"/>
  <c r="I197" i="12"/>
  <c r="I172" i="12"/>
  <c r="I173" i="12"/>
  <c r="I174" i="12"/>
  <c r="I175" i="12"/>
  <c r="I177" i="12"/>
  <c r="I171" i="12"/>
  <c r="I151" i="12"/>
  <c r="I143" i="12"/>
  <c r="I145" i="12"/>
  <c r="I132" i="12"/>
  <c r="I133" i="12"/>
  <c r="I134" i="12"/>
  <c r="I131" i="12"/>
  <c r="F216" i="12" l="1"/>
  <c r="I214" i="12"/>
  <c r="I215" i="12"/>
  <c r="G218" i="12"/>
  <c r="G216" i="12" s="1"/>
  <c r="I207" i="12" l="1"/>
  <c r="I112" i="12" l="1"/>
  <c r="I113" i="12"/>
  <c r="I114" i="12"/>
  <c r="I115" i="12"/>
  <c r="I116" i="12"/>
  <c r="I117" i="12"/>
  <c r="I118" i="12"/>
  <c r="I119" i="12"/>
  <c r="I111" i="12"/>
  <c r="I318" i="12"/>
  <c r="I319" i="12"/>
  <c r="I320" i="12"/>
  <c r="I321" i="12"/>
  <c r="D303" i="12"/>
  <c r="I38" i="12"/>
  <c r="I39" i="12"/>
  <c r="I11" i="12"/>
  <c r="I12" i="12"/>
  <c r="I13" i="12"/>
  <c r="I16" i="12"/>
  <c r="I17" i="12"/>
  <c r="I18" i="12"/>
  <c r="I20" i="12"/>
  <c r="I22" i="12"/>
  <c r="I89" i="12"/>
  <c r="D312" i="12" l="1"/>
  <c r="D301" i="12"/>
  <c r="I74" i="12"/>
  <c r="I75" i="12"/>
  <c r="I76" i="12"/>
  <c r="I77" i="12"/>
  <c r="I78" i="12"/>
  <c r="I79" i="12"/>
  <c r="I55" i="12"/>
  <c r="I48" i="12"/>
  <c r="I49" i="12"/>
  <c r="I50" i="12"/>
  <c r="I51" i="12"/>
  <c r="I52" i="12"/>
  <c r="I53" i="12"/>
  <c r="I54" i="12"/>
  <c r="I59" i="12"/>
  <c r="I60" i="12"/>
  <c r="I61" i="12"/>
  <c r="I62" i="12"/>
  <c r="I64" i="12"/>
  <c r="I65" i="12"/>
  <c r="I66" i="12"/>
  <c r="I40" i="12"/>
  <c r="D32" i="12"/>
  <c r="G85" i="12" l="1"/>
  <c r="D85" i="12"/>
  <c r="G68" i="12"/>
  <c r="I44" i="12"/>
  <c r="I57" i="12"/>
  <c r="I45" i="12"/>
  <c r="G43" i="12"/>
  <c r="D68" i="12"/>
  <c r="F68" i="12"/>
  <c r="F43" i="12"/>
  <c r="D43" i="12"/>
  <c r="I43" i="12" l="1"/>
  <c r="I299" i="12" l="1"/>
  <c r="I297" i="12"/>
  <c r="I296" i="12"/>
  <c r="I295" i="12"/>
  <c r="I294" i="12"/>
  <c r="I293" i="12"/>
  <c r="I292" i="12"/>
  <c r="I290" i="12"/>
  <c r="E311" i="12"/>
  <c r="G311" i="12"/>
  <c r="I311" i="12" s="1"/>
  <c r="I278" i="12"/>
  <c r="I277" i="12"/>
  <c r="I276" i="12"/>
  <c r="I274" i="12"/>
  <c r="I269" i="12"/>
  <c r="I263" i="12"/>
  <c r="I262" i="12"/>
  <c r="I261" i="12"/>
  <c r="I260" i="12"/>
  <c r="I251" i="12"/>
  <c r="I10" i="12"/>
  <c r="I28" i="12"/>
  <c r="I29" i="12"/>
  <c r="I30" i="12"/>
  <c r="I35" i="12"/>
  <c r="I36" i="12"/>
  <c r="I37" i="12"/>
  <c r="I47" i="12"/>
  <c r="I73" i="12"/>
  <c r="I252" i="12"/>
  <c r="I253" i="12"/>
  <c r="I265" i="12"/>
  <c r="I257" i="12"/>
  <c r="I259" i="12"/>
  <c r="I279" i="12"/>
  <c r="I264" i="12"/>
  <c r="F413" i="12" l="1"/>
  <c r="E312" i="12"/>
  <c r="G312" i="12"/>
  <c r="F283" i="12"/>
  <c r="G413" i="12" l="1"/>
  <c r="I312" i="12"/>
  <c r="D380" i="12"/>
  <c r="D379" i="12" s="1"/>
  <c r="I353" i="12"/>
  <c r="I362" i="12" l="1"/>
  <c r="I386" i="12"/>
  <c r="I352" i="12"/>
  <c r="I354" i="12"/>
  <c r="I363" i="12"/>
  <c r="I108" i="12"/>
  <c r="F98" i="12"/>
  <c r="F411" i="12" s="1"/>
  <c r="I25" i="12"/>
  <c r="I26" i="12"/>
  <c r="I24" i="12"/>
  <c r="I87" i="12"/>
  <c r="I86" i="12"/>
  <c r="I70" i="12"/>
  <c r="I71" i="12"/>
  <c r="I69" i="12"/>
  <c r="F85" i="12"/>
  <c r="G98" i="12"/>
  <c r="G411" i="12" s="1"/>
  <c r="E106" i="12"/>
  <c r="I398" i="12"/>
  <c r="F106" i="12"/>
  <c r="I385" i="12" l="1"/>
  <c r="I396" i="12"/>
  <c r="I351" i="12"/>
  <c r="I361" i="12"/>
  <c r="I98" i="12"/>
  <c r="I23" i="12"/>
  <c r="I85" i="12"/>
  <c r="I68" i="12"/>
  <c r="D328" i="12"/>
  <c r="I314" i="12"/>
  <c r="I230" i="12" l="1"/>
  <c r="I233" i="12"/>
  <c r="I238" i="12"/>
  <c r="I316" i="12"/>
  <c r="I368" i="12"/>
  <c r="I317" i="12"/>
  <c r="I315" i="12"/>
  <c r="I284" i="12"/>
  <c r="I229" i="12" l="1"/>
  <c r="I367" i="12"/>
  <c r="I140" i="12" l="1"/>
  <c r="I144" i="12"/>
  <c r="I141" i="12"/>
  <c r="D239" i="12" l="1"/>
  <c r="E240" i="12"/>
  <c r="I240" i="12" s="1"/>
  <c r="D240" i="12"/>
  <c r="I235" i="12"/>
  <c r="I234" i="12"/>
  <c r="I239" i="12" l="1"/>
  <c r="E242" i="12"/>
  <c r="D242" i="12"/>
  <c r="I180" i="12"/>
  <c r="I179" i="12"/>
  <c r="I285" i="12"/>
  <c r="I218" i="12"/>
  <c r="E178" i="12"/>
  <c r="G178" i="12"/>
  <c r="F213" i="12"/>
  <c r="F178" i="12"/>
  <c r="E213" i="12"/>
  <c r="I213" i="12" l="1"/>
  <c r="I178" i="12"/>
  <c r="E328" i="12"/>
  <c r="F328" i="12"/>
  <c r="G328" i="12"/>
  <c r="E283" i="12" l="1"/>
  <c r="I270" i="12"/>
  <c r="G283" i="12"/>
  <c r="E199" i="12"/>
  <c r="F199" i="12"/>
  <c r="G199" i="12"/>
  <c r="D199" i="12"/>
  <c r="I283" i="12" l="1"/>
  <c r="I286" i="12"/>
  <c r="I148" i="12" l="1"/>
  <c r="I156" i="12" l="1"/>
  <c r="I155" i="12"/>
  <c r="I137" i="12"/>
  <c r="E158" i="12"/>
  <c r="F158" i="12"/>
  <c r="E194" i="12"/>
  <c r="E193" i="12" s="1"/>
  <c r="F194" i="12"/>
  <c r="F193" i="12" s="1"/>
  <c r="G194" i="12"/>
  <c r="E188" i="12"/>
  <c r="E187" i="12" s="1"/>
  <c r="F188" i="12"/>
  <c r="F187" i="12" s="1"/>
  <c r="G188" i="12"/>
  <c r="D188" i="12"/>
  <c r="D201" i="12" s="1"/>
  <c r="D200" i="12" s="1"/>
  <c r="D311" i="12"/>
  <c r="I302" i="12"/>
  <c r="E376" i="12"/>
  <c r="E375" i="12" s="1"/>
  <c r="F376" i="12"/>
  <c r="F375" i="12" s="1"/>
  <c r="G376" i="12"/>
  <c r="D375" i="12"/>
  <c r="I160" i="12" l="1"/>
  <c r="G158" i="12"/>
  <c r="D187" i="12"/>
  <c r="I138" i="12"/>
  <c r="I147" i="12"/>
  <c r="I304" i="12"/>
  <c r="G375" i="12"/>
  <c r="G187" i="12"/>
  <c r="G193" i="12"/>
  <c r="E216" i="12"/>
  <c r="G206" i="12"/>
  <c r="E201" i="12"/>
  <c r="E200" i="12" s="1"/>
  <c r="G201" i="12"/>
  <c r="F201" i="12"/>
  <c r="F200" i="12" s="1"/>
  <c r="E206" i="12"/>
  <c r="F206" i="12"/>
  <c r="I217" i="12" l="1"/>
  <c r="I216" i="12"/>
  <c r="I206" i="12"/>
  <c r="G200" i="12"/>
  <c r="G223" i="12"/>
  <c r="F223" i="12"/>
  <c r="E198" i="12"/>
  <c r="F198" i="12"/>
  <c r="G198" i="12"/>
  <c r="D198" i="12"/>
  <c r="D123" i="12"/>
  <c r="F32" i="12"/>
  <c r="I158" i="12" l="1"/>
  <c r="I303" i="12"/>
  <c r="I223" i="12"/>
  <c r="E301" i="12"/>
  <c r="I301" i="12" l="1"/>
  <c r="E409" i="12" l="1"/>
  <c r="F409" i="12"/>
  <c r="G409" i="12"/>
  <c r="F372" i="12" l="1"/>
  <c r="F395" i="12" s="1"/>
  <c r="G372" i="12"/>
  <c r="G397" i="12" s="1"/>
  <c r="G395" i="12" s="1"/>
  <c r="E372" i="12"/>
  <c r="E395" i="12" s="1"/>
  <c r="D397" i="12"/>
  <c r="D395" i="12" s="1"/>
  <c r="D193" i="12"/>
  <c r="I397" i="12" l="1"/>
  <c r="I395" i="12"/>
  <c r="G183" i="12" l="1"/>
  <c r="D206" i="12" l="1"/>
  <c r="D158" i="12" l="1"/>
  <c r="D136" i="12" l="1"/>
  <c r="I122" i="12" l="1"/>
  <c r="I123" i="12"/>
  <c r="F121" i="12"/>
  <c r="G121" i="12"/>
  <c r="E121" i="12"/>
  <c r="I121" i="12" l="1"/>
  <c r="D98" i="12"/>
  <c r="D411" i="12" s="1"/>
  <c r="F236" i="12" l="1"/>
  <c r="G236" i="12" l="1"/>
  <c r="G136" i="12" l="1"/>
  <c r="E136" i="12"/>
  <c r="F136" i="12"/>
  <c r="I136" i="12" l="1"/>
  <c r="E246" i="12" l="1"/>
  <c r="F246" i="12"/>
  <c r="F247" i="12" s="1"/>
  <c r="G246" i="12"/>
  <c r="D246" i="12"/>
  <c r="I246" i="12" l="1"/>
  <c r="I93" i="12"/>
  <c r="D93" i="12"/>
  <c r="D236" i="12" l="1"/>
  <c r="I236" i="12" l="1"/>
  <c r="G165" i="12" l="1"/>
  <c r="F165" i="12"/>
  <c r="G164" i="12" l="1"/>
  <c r="F164" i="12"/>
  <c r="E183" i="12" l="1"/>
  <c r="E414" i="12" s="1"/>
  <c r="F183" i="12"/>
  <c r="D183" i="12"/>
  <c r="I183" i="12" l="1"/>
  <c r="G371" i="12"/>
  <c r="E371" i="12"/>
  <c r="D371" i="12"/>
  <c r="F371" i="12"/>
  <c r="G32" i="12"/>
  <c r="I32" i="12" l="1"/>
  <c r="D33" i="12"/>
  <c r="F33" i="12"/>
  <c r="F414" i="12" s="1"/>
  <c r="I96" i="12" l="1"/>
  <c r="I33" i="12"/>
  <c r="G414" i="12"/>
  <c r="F95" i="12"/>
  <c r="G308" i="12"/>
  <c r="F308" i="12"/>
  <c r="F309" i="12" l="1"/>
  <c r="G310" i="12"/>
  <c r="G95" i="12"/>
  <c r="I95" i="12" s="1"/>
  <c r="I97" i="12"/>
  <c r="G309" i="12" l="1"/>
  <c r="D178" i="12"/>
  <c r="D414" i="12" l="1"/>
  <c r="D95" i="12" l="1"/>
  <c r="D307" i="12" l="1"/>
  <c r="E308" i="12" l="1"/>
  <c r="D308" i="12"/>
  <c r="E310" i="12" l="1"/>
  <c r="D309" i="12"/>
  <c r="I309" i="12" s="1"/>
  <c r="F307" i="12"/>
  <c r="G307" i="12"/>
  <c r="E307" i="12"/>
  <c r="G31" i="12"/>
  <c r="D31" i="12"/>
  <c r="D108" i="12"/>
  <c r="D106" i="12" l="1"/>
  <c r="E309" i="12"/>
  <c r="F31" i="12"/>
  <c r="I31" i="12"/>
  <c r="D121" i="12"/>
  <c r="I92" i="12"/>
  <c r="E247" i="12"/>
  <c r="I247" i="12" s="1"/>
  <c r="D247" i="12"/>
  <c r="E165" i="12"/>
  <c r="D165" i="12"/>
  <c r="D164" i="12" l="1"/>
  <c r="E164" i="12"/>
  <c r="E169" i="12"/>
  <c r="E182" i="12" s="1"/>
  <c r="F169" i="12"/>
  <c r="G169" i="12"/>
  <c r="G182" i="12" s="1"/>
  <c r="D169" i="12"/>
  <c r="D182" i="12" s="1"/>
  <c r="D410" i="12" s="1"/>
  <c r="F182" i="12" l="1"/>
  <c r="E410" i="12"/>
  <c r="I169" i="12"/>
  <c r="F181" i="12"/>
  <c r="E181" i="12"/>
  <c r="D181" i="12"/>
  <c r="F412" i="12" l="1"/>
  <c r="F410" i="12" s="1"/>
  <c r="G410" i="12"/>
  <c r="G181" i="12"/>
  <c r="I181" i="12" s="1"/>
  <c r="I182" i="12"/>
  <c r="D216" i="12" l="1"/>
  <c r="D213" i="12"/>
</calcChain>
</file>

<file path=xl/sharedStrings.xml><?xml version="1.0" encoding="utf-8"?>
<sst xmlns="http://schemas.openxmlformats.org/spreadsheetml/2006/main" count="1050" uniqueCount="267">
  <si>
    <t xml:space="preserve">действующих в муниципальном образовании Кольский район </t>
  </si>
  <si>
    <t>Источник финансирования</t>
  </si>
  <si>
    <t>№ п/п</t>
  </si>
  <si>
    <t>Всего, в том числе:</t>
  </si>
  <si>
    <t xml:space="preserve">о реализации  муниципальных программ, </t>
  </si>
  <si>
    <t>Отчёт</t>
  </si>
  <si>
    <t>Мероприятия*</t>
  </si>
  <si>
    <t xml:space="preserve">Утвержденный объем финансирования </t>
  </si>
  <si>
    <t>Лимиты</t>
  </si>
  <si>
    <t>Исполнено</t>
  </si>
  <si>
    <t>произведённые кассовые расходы</t>
  </si>
  <si>
    <t xml:space="preserve">фактическое финансирование  </t>
  </si>
  <si>
    <t>Подпрограмма 2 "Создание условий для сбалансированного и устойчивого исполнения местных бюджетов, содействие повышению качества управления муниципальными финансами"</t>
  </si>
  <si>
    <t>бюджет Кольского района</t>
  </si>
  <si>
    <t>Всего по программе</t>
  </si>
  <si>
    <t>бюджет Мурманской области</t>
  </si>
  <si>
    <t>Всего, в т.ч.</t>
  </si>
  <si>
    <t>Всего по подпрограмме</t>
  </si>
  <si>
    <t>Подпрограмма 2 "Повышение безопасности дорожного движения и снижение дорожно-транспортного травматизма"</t>
  </si>
  <si>
    <t>Распоряжение, формирование, управление муниципальным имуществом, (кроме земельных участков), их учёт и содержание</t>
  </si>
  <si>
    <t>Организация и проведение мероприятий, направленных на поддержку и продвижение талантливых детей и молодёжи Кольского района</t>
  </si>
  <si>
    <t>Комплекс мер, направленный на реализацию мероприятий государственной молодёжной политики</t>
  </si>
  <si>
    <t>Комплекс мер по обеспечению поддержки и сопровождения антинаркотической и антиалкогольной деятельности в Кольском районе</t>
  </si>
  <si>
    <t>Реализация комплекса мер, направленного на профилактику негативных явлений в обществе, формирование здорового образа жизни у населения Кольского района, в том числе детской и молодёжной среде</t>
  </si>
  <si>
    <t>Комплекс мероприятий, направленных на развитие массового спорта</t>
  </si>
  <si>
    <t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местного бюджета</t>
  </si>
  <si>
    <t>Расходы на обеспечение деятельности (оказание услуг) подведомственных учреждений, в том числе на предоставление муниципальным бюджетным и автономным учреждениям субсидий</t>
  </si>
  <si>
    <t>Выплата пенсии за выслугу лет муниципальным служащим, замещавшим муниципальные должности муниципальной службы в муниципальном образовании Кольский район</t>
  </si>
  <si>
    <t>Подпрограмма 1 "Развитие образования в Кольском районе Мурманской области"</t>
  </si>
  <si>
    <t>Мероприятия по капитальному и текущему ремонту объектов образования</t>
  </si>
  <si>
    <t>Модернизация образовательной среды, направленная на достижение современного качества учебных результатов</t>
  </si>
  <si>
    <t>Проведение мероприятий, направленных на формирование здорового образа жизни</t>
  </si>
  <si>
    <t>Формирование условий, обеспечивающих соответствие образовательных организаций современным требованиям</t>
  </si>
  <si>
    <t>Школьное здоровое питание</t>
  </si>
  <si>
    <t>Организация оздоровительных лагерей дневного пребывания на базе образовательных учреждений и выездного оздоровительного лагеря для воспитанников МОУ ДОД ДЮСШ от 7 до 18 лет</t>
  </si>
  <si>
    <t>Расходы на обеспечение деятельности (оказание услуг)  подведомственных учреждений, в том числе на предоставление муниципальным бюджетным и автономным учреждениям субсидий</t>
  </si>
  <si>
    <t>13.</t>
  </si>
  <si>
    <t xml:space="preserve">Подпрограмма 1 "Обеспечение деятельности и функций администрации Кольского района и государственных полномочий" </t>
  </si>
  <si>
    <t>Расходы на выплаты по оплате труда главы местной администрации</t>
  </si>
  <si>
    <t>Расходы на выплаты по оплате труда работников органов местного самоуправления</t>
  </si>
  <si>
    <t>Заключение соглашений на поставку материальных ресурсов на ликвидацию последствий чрезвычайных ситуаций природного и техногенного характера</t>
  </si>
  <si>
    <t>Субвенция на осуществление органами местного самоуправления муниципальных образований Мурманской области со статусом городского округа и муниципального района отдельных государственных полномочий по сбору сведений для формирования и ведения торгового реестра</t>
  </si>
  <si>
    <t xml:space="preserve">Подпрограмма 2 "Обеспечение деятельности муниципальных учреждений, подведомственных администрации Кольского района по выполнению муниципальных функций" </t>
  </si>
  <si>
    <t>Расходы на содержание МКУ "Кольский архив"</t>
  </si>
  <si>
    <t>Расходы на содержание МБУ "Централизованная бухгалтерия по обслуживанию муниципальных учреждений Кольского района"</t>
  </si>
  <si>
    <t>Всего по муниципальным программам</t>
  </si>
  <si>
    <t xml:space="preserve">   </t>
  </si>
  <si>
    <t>бюджет поселений Кольского района</t>
  </si>
  <si>
    <t xml:space="preserve">Мероприятия, связанные с повышением безопасности дорожного движения и снижение дорожно-транспортного травматизма в Кольском районе </t>
  </si>
  <si>
    <t>Подпрограмма 1 "Управление муниципальными финансами"</t>
  </si>
  <si>
    <t>Проведение мероприятий для детей и молодёжи</t>
  </si>
  <si>
    <t>Подпрограмма 1 "Содействие развитию субъектов малого  предпринимательства"</t>
  </si>
  <si>
    <t>Оказание методической помощи организаторам и участникам профилактической антинаркотической и антиалкогольной деятельности</t>
  </si>
  <si>
    <t>Расходы на реализацию мероприятий государственной программы Российской Федерации "Доступная среда"</t>
  </si>
  <si>
    <t>Расходы на обеспечение бесплатным цельным молоком либо питьевым молоком обучающихся 1-4 классов общеобразовательных учреждений, муниципальных образовательных учреждений для детей дошкольного и младшего школьного возраста</t>
  </si>
  <si>
    <t>Проведение торжественных мероприятий в рамках празднования Дня матери</t>
  </si>
  <si>
    <t>Расходы на выплаты спортсменам, судьям, привлекаемым для участия в физкультурно-спортивных мероприятиях</t>
  </si>
  <si>
    <t>Выплата денежной премии участникам акции "Правовой район"</t>
  </si>
  <si>
    <t>Прочие направления расходов муниципальной программы</t>
  </si>
  <si>
    <t>Мероприятия по созданию и обеспечению функционирования системы технической защиты информации</t>
  </si>
  <si>
    <t>Членские взносы в Совет муниципальных образований Мурманской области</t>
  </si>
  <si>
    <t>Субсидия на организацию отдыха детей Мурманской области в муниципальных образовательных организациях</t>
  </si>
  <si>
    <t>Расходы бюджета Кольского района на организацию отдыха детей Мурманской области в муниципальных образовательных организациях</t>
  </si>
  <si>
    <t>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</t>
  </si>
  <si>
    <t>Расходы бюджета Кольского района на софинансирование расходов, направляемых на оплату  труда и начисления на выплаты по оплате труда работникам муниципальных учреждений</t>
  </si>
  <si>
    <t xml:space="preserve">Субвенция на содержание ребёнка в семье опекуна (попечителя) и приёмной семье, а также вознаграждение, причитающееся приёмному родителю </t>
  </si>
  <si>
    <t>Расходы бюджета Кольского района на софинансирование расходов, направленных на оплату труда и начисления на выплаты по оплате труда, работникам муниципальных учреждений</t>
  </si>
  <si>
    <t>Подпрограмма 3 "Развитие дорожного хозяйства сельских поселений"</t>
  </si>
  <si>
    <t>Обслуживание и содержание дорог местного значения в границах сельских поселений</t>
  </si>
  <si>
    <t>Предоставление финансовой поддержки субъектам малого предпринимательства, в том числе крестьянско-фермерским хозяйствам</t>
  </si>
  <si>
    <t xml:space="preserve">Подпрограмма 1 "Комплексные меры по ограничению темпов роста наркомании, алкоголизма и сопутствующих им заболеваний в Кольском районе </t>
  </si>
  <si>
    <t xml:space="preserve">Подпрограмма 2 "Профилактика правонарушений в Кольском районе" </t>
  </si>
  <si>
    <t>Субсидия  на техническое сопровождение программного обеспечения "Система автоматизированного рабочего места муниципального образования"</t>
  </si>
  <si>
    <t xml:space="preserve">Подпрограмма 3 "Развитие кадрового потенциала администрации Кольского района" </t>
  </si>
  <si>
    <t>Реализация комплекса мер, направленного на воспитание у детей и молодёжи патриотизма и чувства долга перед Отечеством</t>
  </si>
  <si>
    <t>Организация и проведение мероприятий, направленных на формирование у молодёжи российской идентичности и профилактику этнического и религиозно-политического экстремизма в молодёжной среде</t>
  </si>
  <si>
    <t>Подпрограмма 1 "Содержание и ремонт муниципального жилищного фонда Кольского района"</t>
  </si>
  <si>
    <t>Расходы по внесению платы за содержание и ремонт пустующего жилого помещения, относящегося к муниципальному жилищному фонду</t>
  </si>
  <si>
    <t>Расходы по внесению платы за коммунальные услуги по пустующим жилым помещениям, относящимся к муниципальному жилищному фонду</t>
  </si>
  <si>
    <t>Субвенция на выплату компенсации родительской платы за присмотр и уход за детьми, посещающими образовательные организации, реализующие общеобразовательные программы дошкольного образования</t>
  </si>
  <si>
    <t>Субсидия на софинансирование расходных обязательств муниципальных образований на оплату взносов на капитальный ремонт за муниципальный жилой фонд</t>
  </si>
  <si>
    <t>Проведение экспертизы и технического обследования муниципального жилищного фонда в сельских поселениях Кольского района</t>
  </si>
  <si>
    <t>Расходы бюджета Кольского района на оплату взносов на капитальный ремонт за муниципальный нежилой фонд в составе МКД</t>
  </si>
  <si>
    <t>Комплекс мер, направленных на обеспечение общественной безопасности и профилактику правонарушений на территории Кольского района, в том числе в детской и молодёжной среде</t>
  </si>
  <si>
    <t>Всего:</t>
  </si>
  <si>
    <t xml:space="preserve">Подпрограмма 2 "Сохранение и развитие библиотечной и культурно-досуговой деятельности" </t>
  </si>
  <si>
    <t xml:space="preserve">Подпрограмма 3 "Модернизация учреждений культуры, искусства, образования в сфере культуры и искусства" </t>
  </si>
  <si>
    <t>Компенсация расходов на оплату стоимости проезда и провоза багажа к месту использования отпуска и обратно лицам, работающим в организациях, выполняющих переданные полномочия поселений</t>
  </si>
  <si>
    <t>Расходы бюджета Кольского района на оплату взносов на капитальный ремонт жилого фонда, отнесённого к специализированному жилищному фонду</t>
  </si>
  <si>
    <t>Расходы по внесению платы за содержание и ремонт пустующих муниципальных нежилых помещений, в составе МКД</t>
  </si>
  <si>
    <t>Расходы по внесению платы за коммунальные услуги по пустующим муниципальным нежилым помещениям, в составе МКД</t>
  </si>
  <si>
    <t>Субсидии муниципальным унитарным предприятиям, осуществляющим отдельные виды деятельности на территории сельских поселений Кольского района на частичное возмещение затрат, связанных с производством и реализацией тепловой энергии, в рамках мер по предупреждению банкротства</t>
  </si>
  <si>
    <t>Ежемесячная доплата к страховой пенсии лицам, замещавшим муниципальные должности в муниципальном образовании Кольский район</t>
  </si>
  <si>
    <t>Субвенция на организацию предоставления мер социальной поддержки по оплате жилого помещения и коммунальных усуг детям-сиротам и детям, оставшимся без попечения родителей, лцам из числа детей-сирот и детей, оставшихся без попечения родителей</t>
  </si>
  <si>
    <t>Предоставление и выплата ежемесячной доплаты к государственной трудовой пенсии  лицам, удостоенным звания "Почётный гражданин Кольского района"</t>
  </si>
  <si>
    <t>Ликвидация несанкционированных свалок в границах городов и наиболее опасных объектов накопленного экологического вреда окружающей среде</t>
  </si>
  <si>
    <t>Предоставление субсидий общественным организациям инвалидов</t>
  </si>
  <si>
    <t>Изготовление и размещение на рекламных щитах и информационных стендах на территории сельских поселений Кольского района плакатов на антетеррористическую тематику</t>
  </si>
  <si>
    <t>Организация и проведение мероприятий в сфере противодействия терроризму и экстремизму среди детей и молодёжи по предупреждению межнациональных конфликтов</t>
  </si>
  <si>
    <t>Иные межбюджетные трансферты бюджетам сельских поселений Кольского района на осуществление части функций, связанных с исполнением полномочий по дорожной деятельности в отношении автомобильных дорог местного значения в границах населённых пунктов поселения и обеспечению безопасности дорожного движения на них</t>
  </si>
  <si>
    <t>Иные межбюджетные трансферты на осуществление части функций, связанных с исполнением полномочий по организации ритуальных услуг и содержанию мест захоронения на территории сельских поселений Кольского района</t>
  </si>
  <si>
    <t>федеральный бюджет</t>
  </si>
  <si>
    <t>Субвенция на возмещение расходов по гарантированному перечню услуг по погребению</t>
  </si>
  <si>
    <t>Подпрограмма 3 "Развитие торговли в Кольском районе"</t>
  </si>
  <si>
    <t>Приобретение оборудования для проведения ярмарок</t>
  </si>
  <si>
    <t>Прибретение сувенирной, печатной продукции</t>
  </si>
  <si>
    <t>Муниципальная программа "Управление муниципальным имуществом Кольского района" на 2020-2025 гг.</t>
  </si>
  <si>
    <t>Муниципальная программа "Управление земельными ресурсами Кольского района" на 2020-2025 гг.</t>
  </si>
  <si>
    <t>Управление земельными участками, формирование, их учёт и сдержание</t>
  </si>
  <si>
    <t>Субсидии на финансовое обеспечение дорожной деятельности в отношении автомобильных дорог местного значения и искусственных дорожных сооружений на них за счёт средств дорожного фонда</t>
  </si>
  <si>
    <t>Расходы по содержанию и обслуживанию ГТС ограждающей дамбы помётохранилища (бывшие птицефабрики)</t>
  </si>
  <si>
    <t>Расходы бюджета Кольского района на финансовое обеспечение дорожной деятельности в отношении автомобильных дорог местного значения и искусственных дорожных сооружений на них за счёт средств дорожного фонда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</si>
  <si>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</si>
  <si>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Субвенция местным бюджетам на осуществление органами местного самоуправления государственных полномочий по предоставлению и организации выплаты взнаграждения опекунам совершеннолетних недееспособных граждан </t>
  </si>
  <si>
    <t xml:space="preserve">Расходы бюджета Кольского района на оплату взносов на капитальный ремонт за муниципальный жилой фонд </t>
  </si>
  <si>
    <t>Ремонтные работы на объектах тепло-. водо-. Электроснабжения в сельских поселениях Кольского района в рамках подготовки к отопительному периоду</t>
  </si>
  <si>
    <t>Проведение экспертизы и технического обследования на объектах тепло-. водо-. электроснабжения в сельских поселениях Кольского района</t>
  </si>
  <si>
    <t>Расходы на организацию уличного освещения в сельских поселениях Кольского района</t>
  </si>
  <si>
    <t xml:space="preserve">Подпрограмма 7 "Обеспечение мероприятий по организации ритуальных услуг и содержанию мест захоронения, расположенных на территории сельских поселений Кольского района" </t>
  </si>
  <si>
    <t xml:space="preserve">Подпрограмма 6 "Обеспечение проведения капитального ремонта общего имущества многоквартирных домов, расположенных на территории сельских поселений Кольского района" </t>
  </si>
  <si>
    <t xml:space="preserve">Расходы бюджета Кольского района на обеспечение мероприятий по сносу аварийных расселённых жилых домов и нежилых построеек </t>
  </si>
  <si>
    <t>Подпрограмма 4 "Обеспечение полномочий учредителя муниципальных унитарных предприятий"</t>
  </si>
  <si>
    <t>Расходы на модернизацию, ремонт и эксплуатацию муниципальных тепло, водо, электрических сетей в сельских поселениях Кольского района</t>
  </si>
  <si>
    <t>Расходы на содержание МКУ "Управление ОБН Кольского района"</t>
  </si>
  <si>
    <t>Компенсация расходов на оплату стоимости проезда и провоза багажа при переезде лиц (работников), а также членов их семей, при заключении (расторжении) трудовых договоров (контрактов) с организациями, финансируемыми из местного бюджета</t>
  </si>
  <si>
    <t>Муниципальная программа "Развитие образования в Кольском районе Мурманской области" на 2021-2025 годы</t>
  </si>
  <si>
    <t>Муниципальная программа "Развитие семейных форм устройства детей-сирот и детей, оставшихся без попечения родителей" на 2021-2025 годы</t>
  </si>
  <si>
    <t>Муниципальная программа "Социальная поддержка отдельных категорий граждан" на 2021-2025 годы</t>
  </si>
  <si>
    <t>Муниципальная программа "Развитие культуры" на 2021-2025 годы</t>
  </si>
  <si>
    <t>Расходы бюджета Кольского района по обеспечению и реализации социально-значимых мероприятий</t>
  </si>
  <si>
    <t>Муниципальная программа "Развитие транспортной системы" на 2021-2025 годы</t>
  </si>
  <si>
    <t>Муниципальная программа "Развитие экономического потенциала и формирование благоприятного предпринимательского климата в Кольском районе" на 2022-2026 годы</t>
  </si>
  <si>
    <t>Предоставление субсидий социально ориентированным некоммерческим организациям, созданным в форме хуторских казачьих обществ, внесенных в государственный реестр казачьих обществ Российской Федерации, на финансовое обеспечение и возмещение затрат на оплату коммунальных ресурсов, потребленных в текущем периоде и прошлом году на содержание занимаемого нежилого помещения</t>
  </si>
  <si>
    <t>Муниципальная программа "Управление муниципальными финансами" на  2021 -2025 годы</t>
  </si>
  <si>
    <t>Муниципальная программа "Охрана окружающей среды" на 2021-2025 годы</t>
  </si>
  <si>
    <t>Муниципальная программа "Развитие гражданского общества в Кольском районе Мурманской области" на 2021-2025 годы</t>
  </si>
  <si>
    <t xml:space="preserve">Муниципальная программа "Развитие муниципального управления" на 2021-2025 годы 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</si>
  <si>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</si>
  <si>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Расходы на содержание МКУ "Управление ОБН Кольского района" за счёт поселений</t>
  </si>
  <si>
    <t>Муниципальная программа "Молодёжь Кольского района" на 2021-2025 годы</t>
  </si>
  <si>
    <t>Субсидия бюджетам муниципальных образований на реализацию мероприятий по созданию условий для функционирования Комнат и Домов  Всероссийского военно-патриотического общественного движения "ЮНАРМИЯ"</t>
  </si>
  <si>
    <t>Расходы бюджета Кольского района на реализацию мероприятий по созданию условий для функционирования Комнат и Домов  Всероссийского военно-патриотического общественного движения "ЮНАРМИЯ"</t>
  </si>
  <si>
    <t>Муниципальная программа "Развитие коммунальной инфраструктуры" на 2021-2024 годы</t>
  </si>
  <si>
    <t xml:space="preserve">Текущий ремонт муниципального жилищного фонда </t>
  </si>
  <si>
    <t>Расходы на содержание "Мемориального комплекса "Долина Славы"</t>
  </si>
  <si>
    <t>Субвенция на осуществление государственных полномочий по предоставлению единовременной денежной выплаты многодетным семьям на улучшение жилищных условий</t>
  </si>
  <si>
    <t>Расходы на содержание МАУ "Редакция газеты" Кольское слово"</t>
  </si>
  <si>
    <t>Муниципальная программа "Обеспечение первичных мер пожарной безопасности в границах Кольского муниципального района за границами городских и сельских населенных пунктов Кольского района" на 2022-2024 годы</t>
  </si>
  <si>
    <t>Изготовление и установка знаков пожарной безопасности в границах Кольского муниципального района за границами населенных пунктов поселений Кольского района</t>
  </si>
  <si>
    <t>Материально-техническое обеспечение пожарной безопасности, в том числе обеспечение первичными средствами пожаротушения и пожарным инвентарем территорий и объектов защиты, находящихся в муниципальной собственности</t>
  </si>
  <si>
    <t>Подготовка и размещение информационных материалов на противопожарную тематику</t>
  </si>
  <si>
    <t>Подпрограмма 2 "Поддержка социально ориентированных некоммерческих организаций"</t>
  </si>
  <si>
    <t>Муниципальная программа "Развитие физической культуры и спорта" на 2021-2025 годы</t>
  </si>
  <si>
    <t xml:space="preserve">Подпрограмма 1 "Сохранение и развитие дополнительного образования в сфере культуры и искусства" </t>
  </si>
  <si>
    <t>Муниципальная программа "Энергосбережение и повышение энергетической эффективности" на 2021-2027 годы</t>
  </si>
  <si>
    <t xml:space="preserve">Подпрограмма 5 "Снос ветхого и аварийного жилищного фонда на территории сельских поселений Кольского района" </t>
  </si>
  <si>
    <t>Материальное поощрение народных дружинников, принимавших участие в обеспечении охраны общественного порядка на территории поселений Кольского района</t>
  </si>
  <si>
    <t xml:space="preserve">Подпрограмма 2 "Подготовка объектов жилищно-коммунального хозяйства муниципального образования Кольский район к работе в отопительный период" </t>
  </si>
  <si>
    <t xml:space="preserve">Субсидия бюджетам муниципальных образований на подготовку к отопительному периоду </t>
  </si>
  <si>
    <t xml:space="preserve">Расходы бюджета Кольского района на подготовку к отопительному периоду </t>
  </si>
  <si>
    <t>Расходы бюджета Кольского района на создание и содержание мест (площадок) накопления ТКО на территории сельских поселений Кольского района и г. Кола</t>
  </si>
  <si>
    <t>Субвенция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</si>
  <si>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переданных полномочий Российской Федерации на государственную регистрацию актов гражданского состояния</t>
  </si>
  <si>
    <t>Обеспечение мер по информационной и материальной поддержке участников профилактической деятельности</t>
  </si>
  <si>
    <t>Стимулирование энергосбережения и повышение энергетической эффективности муниципальных учреждений</t>
  </si>
  <si>
    <t>Расходы бюджета Кольского района на предоставление бесплатного питания отдельным категориям обучающихся по образовательным программам начального общего образования</t>
  </si>
  <si>
    <t>Расходы на финансовое обеспечение муниципального задания на реализацию дополнительных общеразвивающих программ для детей в рамках исполнения  социального заказа на оказание муниципальных услуг в социальной сфере в соответствии с социальным сертификатом</t>
  </si>
  <si>
    <t>Субсидии в целях финансового обеспечения (возмещения) расходов дополнительных общеразвивающих программ для детей в рамках исполнения социального заказа на оказание муниципальных услуг в социальной сфере в соответствии с социальным сертификатом</t>
  </si>
  <si>
    <t xml:space="preserve">Подпрограмма 3 "Противодействие терроризму и экстремизму, предупреждение межнациональных конфликтов на территории Кольского района" </t>
  </si>
  <si>
    <t>Расходы на обеспечение деятельности (оказание услуг) подведомственных учреждений в целях вовлечения молодежи в социальную практику, формированиеделовой, экономической и политической активности, в том числе на предоставление муниципальным бюджетным и автономным учреждениям субсидий</t>
  </si>
  <si>
    <t xml:space="preserve">Подпрограмма 3 "Модернизация объектов коммунальной инфраструктуры" </t>
  </si>
  <si>
    <t>Всего</t>
  </si>
  <si>
    <t>Исполнено на</t>
  </si>
  <si>
    <t xml:space="preserve"> Исполнено на</t>
  </si>
  <si>
    <t>Расходы на обеспечение функций главы муниципального образования</t>
  </si>
  <si>
    <t>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 и муниципального района отдельными государственными полномочиями по опеке и попечительству в отношении несовершеннолетних</t>
  </si>
  <si>
    <t>Субвенция на реализацию Закона Мурманской области "О наделении органов местного самоуправления муниципальных образований со статусом городского округа и муниципального района отдельными государственными полномочиями по опеке и попечительству в отношении совершеннолетних граждан</t>
  </si>
  <si>
    <t>Субвенция на осуществление органами местного самоуправления отдельных государственных полномочий Мурманской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Мурманской области "Об административных правонарушениях"</t>
  </si>
  <si>
    <t>Субвенция на реализацию Закона Мурманской области "Об административных комиссиях"</t>
  </si>
  <si>
    <t>Субвенция на реализацию Закона Мурманской области "О комиссиях по делам несовершеннолетних и защите их прав в Мурманской области"</t>
  </si>
  <si>
    <t>Расходы на приобретение вещевого имущества и предметов первой необходимости для оснащения защитного сооружения</t>
  </si>
  <si>
    <t>Обеспечение питанием добровольцев, принимавших участие в оказании помощи в ликвидации природных пожаров на территории сельских поселений Кольского района</t>
  </si>
  <si>
    <t>Оценка рыночной стоимости права заключения договора на установку и эксплуатацию рекламной конструкции на земельном участке, который находится в государственной собственности, муниципальной собственности или государственная собственность на которой не разграничена</t>
  </si>
  <si>
    <t xml:space="preserve">Расходы на выплаты по оплате труда работников органов местного самоуправления, выполняющих переданные полномочия поселений </t>
  </si>
  <si>
    <t>Материальное поощерение добровольцев, принимавших участие в оказании помощи в ликвидации природных пожаров на территории городских поселений Кольского района</t>
  </si>
  <si>
    <t>Расходы на единовременное поощерение за многолетнию безупречную муниципальную службу, выплачиваемую муниципальным служащим</t>
  </si>
  <si>
    <t>Расходы на выплаты муниципальным служащим, а также работникам, не отнесенным к должностям муниципальной службы, денежной компенсации за все неиспользованные отпуска при прекращении или расторжении служебного контракта (трудового договора), освобождений от замещаемой должности при увольнении</t>
  </si>
  <si>
    <t>Актуализация схемы территориального планирования Кольского района</t>
  </si>
  <si>
    <t>Расходы на выполнение работ по тушению лесных пожаров на землях сельских поселений, находящихся в границах территории муниципального образования Кольский район</t>
  </si>
  <si>
    <t>Субвенция на обеспечение бесплатным питанием отдельных категорий обучающихся</t>
  </si>
  <si>
    <t>Проведение мероприятий по обеспечению деятельности советников директоров по воспитанию и взаимодействию с детскими общественными объединениями в общеобразовательных организациях за счет резервного фонда Правительства РФ</t>
  </si>
  <si>
    <t>Федеральный бюджет</t>
  </si>
  <si>
    <t>Подпрограмма 2 «Обеспечение отдыха и оздоровления детей»</t>
  </si>
  <si>
    <t>Подпрограмма 3 «Обеспечение качественного предоставления услуг (работ) в сфере дошкольного образования»</t>
  </si>
  <si>
    <t>Подпрограмма 4 «Обеспечение качественного предоставления услуг (работ) в сфере общего образования»</t>
  </si>
  <si>
    <t>Подпрограмма 5  «Обеспечение качественного предоставления услуг (работ) в сфере дополнительного образования»</t>
  </si>
  <si>
    <t>Подпрограмма 6 «Обеспечение организационно-методической деятельности муниципальных учреждений Кольского района»</t>
  </si>
  <si>
    <t>Расходы на содержание муниципального казенного учреждения "Хозяйственно-эксплуатационная служба Кольского района"</t>
  </si>
  <si>
    <t>Субвенция на расходы, связанные с выплатой компенсации родительской платы за присмотр и уход за детьми, посещающими образовательные организации, реализующие общеобразовательные программы дошкольного образования (банковские, почтовые услуги, расходы на компенсацию затрат деятельности органов местного самоуправления и учреждений, находящихся в их ведении)</t>
  </si>
  <si>
    <t>Профессиональная подготовка и повышение квалификации муниципальных служащих</t>
  </si>
  <si>
    <t>Субвенция местным бюджетам на осуществление органами местного самуправления государственными полномочиями по организации предоставления и предоставлению ежемесячной жилищно-коммунальной выплаты специалистам муниципальных учреждений (организаций), указанных в подпунктах 1-6,6, 8 пункта 2 статьи 3 Закона Мурманской области "О мерах социальной поддержки отдельных категорий граждан, работающих в сельских населенных пунктах или поселках городского типа", имеющим право на предоставление ежемесячной жилищно-коммунальной выплаты в соответствии с указанным Законом</t>
  </si>
  <si>
    <t>Субвенция на предоставление мер социальной поддержки по оплате жилого помещения и коммунальных услуг детям-сиротам и детям, оставшихся без попечения родителей, лицам из числа детей-сирот и детей, оставшихся без попечения родителей</t>
  </si>
  <si>
    <t xml:space="preserve"> Поддержка мер по обеспечению сбалансированности местных бюджетов</t>
  </si>
  <si>
    <t>Реализация мероприятий по модернизации школьных систем образования (капитальный ремонт зданий муниципальных общеобразовательных организаций)</t>
  </si>
  <si>
    <t>Реализация мероприятий по модернизации школьных систем образования (капитальный ремонт зданий общеобразовательных организаций Кольского муниципального района)</t>
  </si>
  <si>
    <t>Субвенция на реализацию Закона Мурманской области "О патронате" в части финансирования расходов по выплате денежного вознаграждения лицам, осуществляющим постинтернатный патронат в отношении несовершеннолетних и социальный патронат</t>
  </si>
  <si>
    <t>Иные межбюджетные трансферты из областного бюджета местным бюджетам на проведение временных общественно полезных работ в Мурманской области (за счет средств резервного фонда Правительства Мурманской области)</t>
  </si>
  <si>
    <t>Субсидии юридическим лицам и индивидуальным предпринимателям, осуществляющим деятельность по управлению многоквартирными домами или привлекаемым к выполнению работ в рамках задач по управлению многоквартирными домами, на обеспечение затрат на проведение аварийных работ и/ или капитального ремонта общего имущества многоквартирных домов и на проведение мероприятий, направленных на обеспечение энергоснабжения и повышение энергетической эффективности многоквартирных домов, расположенных на территории сельских поселений Кольского района</t>
  </si>
  <si>
    <t>Расходы бюджета Кольского района на финансовое обеспечение работ по диагностике и оценке транспортно-эксплуатационного состояния, паспортизации,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</t>
  </si>
  <si>
    <t>Субсидии из областного бюджета местным бюджетам на финансовое обеспечение работ по диагностике и оценке транспортно-эксплуатационного состояния, паспортизации,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</t>
  </si>
  <si>
    <t>Расходы на организацию мероприятий по обеспечению чистоты и порядка на территории муниципального образования</t>
  </si>
  <si>
    <t>Реализация мероприятий по модернизации школьных систем образования (оснащение средствами обучения и воспитания зданий муниципальных общеобразовательных организаций)</t>
  </si>
  <si>
    <t>Реализация мероприятий планов социального развития центров экономического роста субъектов РФ АЗРФ</t>
  </si>
  <si>
    <t>Расходы бюджета Кольского района на реализацию мероприятий по модернизации школьных систем образования (Капитальный ремонт зданий общеобразовавательных организаций Кольского муниципального района)</t>
  </si>
  <si>
    <r>
      <t xml:space="preserve">Оценка выполнения </t>
    </r>
    <r>
      <rPr>
        <sz val="12"/>
        <color theme="1"/>
        <rFont val="Times New Roman"/>
        <family val="1"/>
        <charset val="204"/>
      </rPr>
      <t>(краткое описание исполнения программы; либо причины неисполнения)</t>
    </r>
  </si>
  <si>
    <t>Субвенция на реализацию Закона Мурманской области "О единой субвенции местным бюджетам на финансовое обеспечение образовательной деятельности"</t>
  </si>
  <si>
    <t xml:space="preserve"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местного бюджета </t>
  </si>
  <si>
    <t>Субвенция из областного бюджета местым бюджетам на предоставление отдельным категориям педагогических работников компенсации расходов на оплату жилых помещений</t>
  </si>
  <si>
    <t>Иные межбюджетные трансферты из областного бюджета местным бюджетам на реализацию проектов в сфере школьного образовательного туризма для обучающихся 8-11 классов общеобразовательных организаций Мурманской области</t>
  </si>
  <si>
    <t>Расходы бюджета Кольского района на реализацию проектов в сфере школьного образовательного туризма для обучающихся 8 - 11 классов общеобразовательных организаций Мурманской области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</si>
  <si>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</si>
  <si>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</si>
  <si>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Реализация мероприятий по строительству, реконструкции, модернизации и приобретению спортивных объектов Мурманской области</t>
  </si>
  <si>
    <t>Расходы бюджета Кольского района на реализацию мероприятий по строительству, реконструкции, модернизации и приобретению спортивных объектов Мурманской области</t>
  </si>
  <si>
    <t xml:space="preserve"> Субвенция из областного бюджета местным бюджетам на осуществление ремонта жилых помещений, собственниками которых являются дети-сироты и дети, оставшиеся без попечения родителей, лица из числа детей-сирот и детей, оставшихся без попечения родителей, либо текущего ремонта жилых помещений, право пользования которыми сохранено за детьми-сиротами и детьми, оставшимися без попечения родителей, лицами из числа детей-сирот и детей, оставшихся без попечения родителейна предоставление жилых помещений детям-сиротам и детям, оставшимся без попечения родителей</t>
  </si>
  <si>
    <t>Обеспечение детей сирот и детей, оставшихся без попечения родителей, лиц из числа детей - сирот и детей, оставшихся без попечения родителей, жилыми помещениями</t>
  </si>
  <si>
    <t>Субвенция из областного бюджета местным бюджетам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</si>
  <si>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Предоставление социальных гарантий лицам, удостоенным звания "Почетный гражданин Кольского района"</t>
  </si>
  <si>
    <t>Информирование населения через средства массовой информации о культурно-массовых и праздничных мероприятий</t>
  </si>
  <si>
    <t>Создание модельных муниципальных библиотек</t>
  </si>
  <si>
    <t>Предоставление субсидий социально ориентированным некоммерческим организациям, созданным в форме общественных организаций и осуществляющим деятельность в области спорта</t>
  </si>
  <si>
    <t xml:space="preserve">Развитие информационной системы управления муниципальными финансами </t>
  </si>
  <si>
    <t>Субсидия  на осуществление органами местного самоуправления государственных полномочий по предоставлению и организации выплат вознаграждения опекунам совершеннолетних недееспособных граждан</t>
  </si>
  <si>
    <t>Мероприятия по капитальному и текущему ремонту учреждений молодежной политики</t>
  </si>
  <si>
    <t>Субсидии из областного бюджета местным бюджетам на реализацию инициативных проектов в муниципальных образованиях Мурманской области (Ремонт входных групп и подъездов многоквартирного дома, расположенного по адресу: Мурманская область, Кольский район, с.п. Пушной, ж-д. ст. Лопарская, ул. ОПХ "Восход" д. 39)</t>
  </si>
  <si>
    <t>Субсидии из областного бюджета местным бюджетам на реализацию инициативных проектов в муниципальных образованиях Мурманской области (Ремонт подъездов и входных групп в МКД по адресу: Кольский район, с. Ура-Губа, ул. Рыбацкая, д. 28)</t>
  </si>
  <si>
    <t>Расходы бюджета Кольского района на реализацию инициативных проектов (Ремонт входных групп и подъездов многоквартирного дома, расположенного по адресу: Мурманская область, Кольский район, с.п. Пушной, ж-д. ст. Лопарская, ул. ОПХ "Восход" д. 39)</t>
  </si>
  <si>
    <t>Расходы бюджета Кольского района на реализацию инициативных проектов (Ремонт подъездов и входных групп в МКД по адресу: Кольский район, с. Ура-Губа, ул. Рыбацкая, д. 28)</t>
  </si>
  <si>
    <t>Реализация мероприятий планов социального развития центров экономического роста субъектов Российской Федерации, входящих в состав Арктической зоны Российской Федерации</t>
  </si>
  <si>
    <t>Расходы бюджета Кольского района на реализацию инициативных проектов</t>
  </si>
  <si>
    <t>Актуализация схем тепло-, водо-, электроснабжения в сельских поселениях Кольского района</t>
  </si>
  <si>
    <t>Расходы бюджета Кольского района на содержание мест захоронения Кольского района</t>
  </si>
  <si>
    <t xml:space="preserve">Подпрограмма 8 "Обеспечение мероприятий по организации ритуальных услуг и содержанию мест захоронения, расположенных на территории сельских поселений Кольского района" </t>
  </si>
  <si>
    <t>Реализация мероприятий планов социального развития центров экономического роста субъектов Российской Федерации Арктической зоны Российской Федерации</t>
  </si>
  <si>
    <t>Бюджет Кольского района</t>
  </si>
  <si>
    <t>Инвентаризация и паспортизация объектов дорожного хозяйства, оформление права муниципальной собственности на объекты дорожного хозяйства и земельные участки, на которых они расположены</t>
  </si>
  <si>
    <t>Процентные платежи по муниципальному долгу Кольского района</t>
  </si>
  <si>
    <t>Расходы бюджета на оплату взносов на капитальный ремонт общего имущества в МКД находящегося в муниципальной собственности и не закрепленного на праве оперативного управления</t>
  </si>
  <si>
    <t>Обеспечение комплексного социально – экономического развития села Белокаменка с.п. Междуречье Кольского района в рамках Соглашения о социально – экономическом сотрудничестве  с ООО «НОВАТЭК – Мурманск»</t>
  </si>
  <si>
    <t>Обеспечение комплексного социально – экономического развития села Белокаменка  с. п. Междуречье Кольского района в рамках Соглашения о социально – экономическом сотрудничестве  с ООО «НОВАТЭК – Мурманск»</t>
  </si>
  <si>
    <t>по итогам 4 квартала 2025 года</t>
  </si>
  <si>
    <t>Расходы бюджета Кольского района на техническое сопровождение программного обеспечения "Система автоматизированного рабочего места муниципального образования"</t>
  </si>
  <si>
    <t>Расходы на выплаты лицам, замещающим муниципальные должности, денежной компенсации за все неиспользованные отпуска при увольнении в связи с истечением срока их полномочий, прекращением полномочий по состоянию здоровья, препятствующему продолжению исполнения полномочий, а также в связи с досрочным прекращением полномочий по иным основаниям</t>
  </si>
  <si>
    <t>Обеспечение расходов по оплате труда работников муниципальных учреждений (за счет дотации на поддержку мер по обеспечению сбалансированности бюджетов субъектов Российской Федерации)</t>
  </si>
  <si>
    <t>Расходы на реконструкцию нежилого здания по адресу: поселок Мурмаши Кольского района Мурманской области, улица Кирова, дом 7</t>
  </si>
  <si>
    <t>Субсидии из областного бюджета местным бюджетам на софинансирование расходов, направляемых на оплату труда и начисления на выплаты по оплате труда работникам муниципальных учреждений</t>
  </si>
  <si>
    <t>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области, осуществляющих управление в сфере образования, на территории которых проведены мероприятия по реорганизации образовательных организаций в форме присоединения (слияния), и руководителям, возглавивишим муниципальную образовательную организацию, созданную путем реогранизации в форме присоединения (слияния) (за счет средств резервного фонда Правительства Мурманской области)</t>
  </si>
  <si>
    <t>Субсидии из областного бюджета местным бюджетам на обеспечение бесплатным цельным молоком либо питьевым молоком обучающихся 1-4 классов общеобразовательных учреждений, муниципальных образовательных учреждений для детей дошкольного и младшего школьного возраста</t>
  </si>
  <si>
    <t>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программы, за руководство школьными спортивными клубами</t>
  </si>
  <si>
    <t>Субсидии из областного бюджета местным бюджетам на предоставление бесплатного питания отдельным категориям обучающихся по образовательным программам начального общего образования</t>
  </si>
  <si>
    <t>Реализация мероприятий по строительству, реконструкции, модернизации и приобретению спортивных объектов Мурманской области (за счет резервного фонда Правительства Мурманской области)</t>
  </si>
  <si>
    <t>Расходы бюджета Кольского района на реализацию мероприятий по строительству, реконструкции, модернизации и приобретению спортивных объектов Мурманской области (за счет средств резервного фонда Правительства Мурманской области)</t>
  </si>
  <si>
    <t>Расходы на финансовое обеспечение (возмещение)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</si>
  <si>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Государственная поддержка отрасли культуры</t>
  </si>
  <si>
    <t>Дотация на выравнивание бюджетной обеспеченности поселений (за счет субсидии на софинансирование расходных обязательств, возникших при осуществлении полномочий органов местного самоуправления муниципальных районов по выравниванию уровня бюджетной обеспеченности поселений)</t>
  </si>
  <si>
    <t>Дотация на выравнивание бюджетной обеспеченности поселений (за счет средств местного бюджета)</t>
  </si>
  <si>
    <t>Выплата стипендии Главы Кольского района одарённым детям, торжественное вручение первых стипендий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</si>
</sst>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0.0"/>
    <numFmt numFmtId="165" formatCode="#,##0.0"/>
    <numFmt numFmtId="166" formatCode="0.0%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CYR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16">
      <alignment vertical="top" wrapText="1"/>
    </xf>
    <xf numFmtId="4" fontId="10" fillId="3" borderId="16">
      <alignment horizontal="right" vertical="top" shrinkToFit="1"/>
    </xf>
  </cellStyleXfs>
  <cellXfs count="185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/>
    <xf numFmtId="49" fontId="3" fillId="2" borderId="1" xfId="0" applyNumberFormat="1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right" vertical="center" wrapText="1"/>
    </xf>
    <xf numFmtId="166" fontId="3" fillId="2" borderId="4" xfId="2" applyNumberFormat="1" applyFont="1" applyFill="1" applyBorder="1" applyAlignment="1">
      <alignment horizontal="left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right" vertical="center" wrapText="1"/>
    </xf>
    <xf numFmtId="166" fontId="1" fillId="2" borderId="4" xfId="2" applyNumberFormat="1" applyFont="1" applyFill="1" applyBorder="1" applyAlignment="1">
      <alignment horizontal="left" vertical="center"/>
    </xf>
    <xf numFmtId="165" fontId="3" fillId="2" borderId="5" xfId="0" applyNumberFormat="1" applyFont="1" applyFill="1" applyBorder="1" applyAlignment="1">
      <alignment horizontal="center" vertical="center" wrapText="1"/>
    </xf>
    <xf numFmtId="165" fontId="6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right" vertical="center"/>
    </xf>
    <xf numFmtId="49" fontId="2" fillId="2" borderId="1" xfId="0" applyNumberFormat="1" applyFont="1" applyFill="1" applyBorder="1"/>
    <xf numFmtId="166" fontId="3" fillId="2" borderId="15" xfId="2" applyNumberFormat="1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right" vertical="center" wrapText="1"/>
    </xf>
    <xf numFmtId="166" fontId="3" fillId="2" borderId="11" xfId="2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166" fontId="3" fillId="2" borderId="14" xfId="2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11" fillId="2" borderId="3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8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49" fontId="1" fillId="2" borderId="5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right"/>
    </xf>
    <xf numFmtId="43" fontId="3" fillId="0" borderId="0" xfId="1" applyFont="1" applyFill="1" applyAlignment="1">
      <alignment horizontal="left" vertic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Alignment="1">
      <alignment horizontal="right"/>
    </xf>
    <xf numFmtId="0" fontId="3" fillId="2" borderId="3" xfId="0" applyFont="1" applyFill="1" applyBorder="1" applyAlignment="1">
      <alignment horizontal="right" vertical="center" wrapText="1"/>
    </xf>
    <xf numFmtId="49" fontId="3" fillId="2" borderId="5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4" fontId="12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right" vertical="center" wrapText="1"/>
    </xf>
    <xf numFmtId="166" fontId="1" fillId="2" borderId="11" xfId="2" applyNumberFormat="1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right" vertical="center" wrapText="1"/>
    </xf>
    <xf numFmtId="0" fontId="11" fillId="2" borderId="12" xfId="0" applyFont="1" applyFill="1" applyBorder="1" applyAlignment="1">
      <alignment horizontal="right" vertical="center" wrapText="1"/>
    </xf>
    <xf numFmtId="166" fontId="1" fillId="2" borderId="14" xfId="2" applyNumberFormat="1" applyFont="1" applyFill="1" applyBorder="1" applyAlignment="1">
      <alignment horizontal="left" vertical="center"/>
    </xf>
    <xf numFmtId="165" fontId="6" fillId="2" borderId="1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/>
    <xf numFmtId="4" fontId="6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4" fillId="0" borderId="0" xfId="0" applyFont="1" applyFill="1"/>
    <xf numFmtId="0" fontId="2" fillId="0" borderId="2" xfId="0" applyFont="1" applyFill="1" applyBorder="1"/>
    <xf numFmtId="0" fontId="2" fillId="0" borderId="0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166" fontId="3" fillId="0" borderId="4" xfId="2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/>
    <xf numFmtId="0" fontId="13" fillId="2" borderId="9" xfId="0" applyFont="1" applyFill="1" applyBorder="1" applyAlignment="1">
      <alignment horizontal="right" vertical="center"/>
    </xf>
    <xf numFmtId="166" fontId="6" fillId="2" borderId="11" xfId="2" applyNumberFormat="1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right" vertical="center"/>
    </xf>
    <xf numFmtId="166" fontId="6" fillId="2" borderId="4" xfId="2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5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top" wrapText="1"/>
    </xf>
    <xf numFmtId="0" fontId="1" fillId="0" borderId="0" xfId="0" applyFont="1" applyFill="1" applyAlignment="1">
      <alignment horizontal="center"/>
    </xf>
    <xf numFmtId="49" fontId="3" fillId="2" borderId="7" xfId="0" applyNumberFormat="1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9" fontId="1" fillId="2" borderId="5" xfId="0" applyNumberFormat="1" applyFont="1" applyFill="1" applyBorder="1" applyAlignment="1">
      <alignment horizontal="center" vertical="top" wrapText="1"/>
    </xf>
    <xf numFmtId="49" fontId="1" fillId="2" borderId="6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165" fontId="3" fillId="2" borderId="8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</cellXfs>
  <cellStyles count="5">
    <cellStyle name="xl37" xfId="3" xr:uid="{789482FE-031D-45E7-B951-472F8791647B}"/>
    <cellStyle name="xl38" xfId="4" xr:uid="{E4F0F646-D85F-4CFC-BAC9-61CFD752AB69}"/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7"/>
  <sheetViews>
    <sheetView tabSelected="1" topLeftCell="A397" zoomScale="70" zoomScaleNormal="70" workbookViewId="0">
      <selection activeCell="K409" sqref="K409"/>
    </sheetView>
  </sheetViews>
  <sheetFormatPr defaultRowHeight="15.75" x14ac:dyDescent="0.25"/>
  <cols>
    <col min="1" max="1" width="5.85546875" style="2" customWidth="1"/>
    <col min="2" max="2" width="47" style="3" customWidth="1"/>
    <col min="3" max="3" width="20.42578125" style="2" customWidth="1"/>
    <col min="4" max="4" width="18.7109375" style="2" customWidth="1"/>
    <col min="5" max="5" width="17" style="2" customWidth="1"/>
    <col min="6" max="6" width="19" style="2" customWidth="1"/>
    <col min="7" max="7" width="19.140625" style="2" customWidth="1"/>
    <col min="8" max="8" width="15.42578125" style="68" customWidth="1"/>
    <col min="9" max="9" width="14.7109375" style="63" customWidth="1"/>
    <col min="10" max="10" width="9.140625" style="2"/>
    <col min="11" max="11" width="17" style="2" customWidth="1"/>
    <col min="12" max="12" width="26.5703125" style="2" customWidth="1"/>
    <col min="13" max="16384" width="9.140625" style="2"/>
  </cols>
  <sheetData>
    <row r="1" spans="1:9" ht="18.75" customHeight="1" x14ac:dyDescent="0.25">
      <c r="A1" s="158" t="s">
        <v>5</v>
      </c>
      <c r="B1" s="158"/>
      <c r="C1" s="158"/>
      <c r="D1" s="158"/>
      <c r="E1" s="158"/>
      <c r="F1" s="158"/>
      <c r="G1" s="158"/>
      <c r="H1" s="158"/>
      <c r="I1" s="158"/>
    </row>
    <row r="2" spans="1:9" ht="18.75" customHeight="1" x14ac:dyDescent="0.25">
      <c r="A2" s="158" t="s">
        <v>4</v>
      </c>
      <c r="B2" s="158"/>
      <c r="C2" s="158"/>
      <c r="D2" s="158"/>
      <c r="E2" s="158"/>
      <c r="F2" s="158"/>
      <c r="G2" s="158"/>
      <c r="H2" s="158"/>
      <c r="I2" s="158"/>
    </row>
    <row r="3" spans="1:9" ht="18.75" customHeight="1" x14ac:dyDescent="0.25">
      <c r="A3" s="158" t="s">
        <v>0</v>
      </c>
      <c r="B3" s="158"/>
      <c r="C3" s="158"/>
      <c r="D3" s="158"/>
      <c r="E3" s="158"/>
      <c r="F3" s="158"/>
      <c r="G3" s="158"/>
      <c r="H3" s="158"/>
      <c r="I3" s="158"/>
    </row>
    <row r="4" spans="1:9" ht="18.75" customHeight="1" x14ac:dyDescent="0.25">
      <c r="A4" s="158" t="s">
        <v>250</v>
      </c>
      <c r="B4" s="158"/>
      <c r="C4" s="158"/>
      <c r="D4" s="158"/>
      <c r="E4" s="158"/>
      <c r="F4" s="158"/>
      <c r="G4" s="158"/>
      <c r="H4" s="158"/>
      <c r="I4" s="158"/>
    </row>
    <row r="5" spans="1:9" ht="15.75" customHeight="1" x14ac:dyDescent="0.25">
      <c r="A5" s="61"/>
      <c r="H5" s="62"/>
    </row>
    <row r="6" spans="1:9" x14ac:dyDescent="0.25">
      <c r="A6" s="161" t="s">
        <v>2</v>
      </c>
      <c r="B6" s="125" t="s">
        <v>6</v>
      </c>
      <c r="C6" s="125" t="s">
        <v>1</v>
      </c>
      <c r="D6" s="106" t="s">
        <v>7</v>
      </c>
      <c r="E6" s="125" t="s">
        <v>8</v>
      </c>
      <c r="F6" s="161" t="s">
        <v>9</v>
      </c>
      <c r="G6" s="161"/>
      <c r="H6" s="111" t="s">
        <v>214</v>
      </c>
      <c r="I6" s="136"/>
    </row>
    <row r="7" spans="1:9" ht="69" customHeight="1" x14ac:dyDescent="0.25">
      <c r="A7" s="161"/>
      <c r="B7" s="125"/>
      <c r="C7" s="125"/>
      <c r="D7" s="107"/>
      <c r="E7" s="125"/>
      <c r="F7" s="46" t="s">
        <v>11</v>
      </c>
      <c r="G7" s="46" t="s">
        <v>10</v>
      </c>
      <c r="H7" s="113"/>
      <c r="I7" s="137"/>
    </row>
    <row r="8" spans="1:9" x14ac:dyDescent="0.25">
      <c r="A8" s="46">
        <v>1</v>
      </c>
      <c r="B8" s="130" t="s">
        <v>125</v>
      </c>
      <c r="C8" s="131"/>
      <c r="D8" s="131"/>
      <c r="E8" s="131"/>
      <c r="F8" s="131"/>
      <c r="G8" s="131"/>
      <c r="H8" s="131"/>
      <c r="I8" s="132"/>
    </row>
    <row r="9" spans="1:9" x14ac:dyDescent="0.25">
      <c r="A9" s="83"/>
      <c r="B9" s="133" t="s">
        <v>28</v>
      </c>
      <c r="C9" s="134"/>
      <c r="D9" s="134"/>
      <c r="E9" s="134"/>
      <c r="F9" s="134"/>
      <c r="G9" s="134"/>
      <c r="H9" s="138"/>
      <c r="I9" s="136"/>
    </row>
    <row r="10" spans="1:9" ht="31.5" x14ac:dyDescent="0.25">
      <c r="A10" s="6"/>
      <c r="B10" s="166" t="s">
        <v>29</v>
      </c>
      <c r="C10" s="47" t="s">
        <v>13</v>
      </c>
      <c r="D10" s="7">
        <v>27153.5</v>
      </c>
      <c r="E10" s="7">
        <v>27153.5</v>
      </c>
      <c r="F10" s="7">
        <v>24001.200000000001</v>
      </c>
      <c r="G10" s="7">
        <v>23926.9</v>
      </c>
      <c r="H10" s="69" t="s">
        <v>172</v>
      </c>
      <c r="I10" s="9">
        <f t="shared" ref="I10:I26" si="0">ROUND(G10/E10,4)</f>
        <v>0.88119999999999998</v>
      </c>
    </row>
    <row r="11" spans="1:9" ht="47.25" x14ac:dyDescent="0.25">
      <c r="A11" s="6"/>
      <c r="B11" s="166" t="s">
        <v>30</v>
      </c>
      <c r="C11" s="47" t="s">
        <v>13</v>
      </c>
      <c r="D11" s="7">
        <v>6271.8</v>
      </c>
      <c r="E11" s="7">
        <v>6271.8</v>
      </c>
      <c r="F11" s="7">
        <v>6036.6</v>
      </c>
      <c r="G11" s="7">
        <v>6036.4</v>
      </c>
      <c r="H11" s="69" t="s">
        <v>172</v>
      </c>
      <c r="I11" s="9">
        <f t="shared" si="0"/>
        <v>0.96250000000000002</v>
      </c>
    </row>
    <row r="12" spans="1:9" ht="47.25" x14ac:dyDescent="0.25">
      <c r="A12" s="6"/>
      <c r="B12" s="166" t="s">
        <v>32</v>
      </c>
      <c r="C12" s="47" t="s">
        <v>13</v>
      </c>
      <c r="D12" s="7">
        <v>1200</v>
      </c>
      <c r="E12" s="7">
        <v>1200</v>
      </c>
      <c r="F12" s="7">
        <v>499.9</v>
      </c>
      <c r="G12" s="7">
        <v>499.9</v>
      </c>
      <c r="H12" s="69" t="s">
        <v>172</v>
      </c>
      <c r="I12" s="9">
        <f t="shared" si="0"/>
        <v>0.41660000000000003</v>
      </c>
    </row>
    <row r="13" spans="1:9" ht="47.25" x14ac:dyDescent="0.25">
      <c r="A13" s="6"/>
      <c r="B13" s="166" t="s">
        <v>212</v>
      </c>
      <c r="C13" s="47" t="s">
        <v>13</v>
      </c>
      <c r="D13" s="7">
        <v>206912.3</v>
      </c>
      <c r="E13" s="7">
        <v>206912.3</v>
      </c>
      <c r="F13" s="7">
        <v>206912.3</v>
      </c>
      <c r="G13" s="7">
        <v>206912.3</v>
      </c>
      <c r="H13" s="69" t="s">
        <v>172</v>
      </c>
      <c r="I13" s="9">
        <f t="shared" si="0"/>
        <v>1</v>
      </c>
    </row>
    <row r="14" spans="1:9" ht="31.5" x14ac:dyDescent="0.25">
      <c r="A14" s="6"/>
      <c r="B14" s="166" t="s">
        <v>33</v>
      </c>
      <c r="C14" s="47" t="s">
        <v>13</v>
      </c>
      <c r="D14" s="7">
        <v>0</v>
      </c>
      <c r="E14" s="7">
        <v>0</v>
      </c>
      <c r="F14" s="7">
        <v>0</v>
      </c>
      <c r="G14" s="7">
        <v>0</v>
      </c>
      <c r="H14" s="69" t="s">
        <v>172</v>
      </c>
      <c r="I14" s="9">
        <v>0</v>
      </c>
    </row>
    <row r="15" spans="1:9" ht="47.25" x14ac:dyDescent="0.25">
      <c r="A15" s="70"/>
      <c r="B15" s="167" t="s">
        <v>53</v>
      </c>
      <c r="C15" s="47" t="s">
        <v>13</v>
      </c>
      <c r="D15" s="7">
        <v>0</v>
      </c>
      <c r="E15" s="7">
        <v>0</v>
      </c>
      <c r="F15" s="7">
        <v>0</v>
      </c>
      <c r="G15" s="7">
        <v>0</v>
      </c>
      <c r="H15" s="69" t="s">
        <v>172</v>
      </c>
      <c r="I15" s="9">
        <v>0</v>
      </c>
    </row>
    <row r="16" spans="1:9" ht="31.5" x14ac:dyDescent="0.25">
      <c r="A16" s="70"/>
      <c r="B16" s="167" t="s">
        <v>31</v>
      </c>
      <c r="C16" s="47" t="s">
        <v>13</v>
      </c>
      <c r="D16" s="7">
        <v>882</v>
      </c>
      <c r="E16" s="7">
        <v>882</v>
      </c>
      <c r="F16" s="7">
        <v>440.3</v>
      </c>
      <c r="G16" s="7">
        <v>440.3</v>
      </c>
      <c r="H16" s="69" t="s">
        <v>172</v>
      </c>
      <c r="I16" s="9">
        <f t="shared" si="0"/>
        <v>0.49919999999999998</v>
      </c>
    </row>
    <row r="17" spans="1:9" ht="94.5" x14ac:dyDescent="0.25">
      <c r="A17" s="70"/>
      <c r="B17" s="167" t="s">
        <v>213</v>
      </c>
      <c r="C17" s="47" t="s">
        <v>13</v>
      </c>
      <c r="D17" s="7">
        <v>9182.4</v>
      </c>
      <c r="E17" s="7">
        <v>9182.4</v>
      </c>
      <c r="F17" s="7">
        <v>9182.4</v>
      </c>
      <c r="G17" s="7">
        <v>9182.4</v>
      </c>
      <c r="H17" s="69" t="s">
        <v>172</v>
      </c>
      <c r="I17" s="9">
        <f t="shared" si="0"/>
        <v>1</v>
      </c>
    </row>
    <row r="18" spans="1:9" ht="31.5" x14ac:dyDescent="0.25">
      <c r="A18" s="142"/>
      <c r="B18" s="168" t="s">
        <v>211</v>
      </c>
      <c r="C18" s="47" t="s">
        <v>101</v>
      </c>
      <c r="D18" s="7">
        <v>22537.3</v>
      </c>
      <c r="E18" s="7">
        <v>22537.3</v>
      </c>
      <c r="F18" s="7">
        <v>22537.3</v>
      </c>
      <c r="G18" s="7">
        <v>22537.3</v>
      </c>
      <c r="H18" s="69" t="s">
        <v>172</v>
      </c>
      <c r="I18" s="9">
        <f t="shared" si="0"/>
        <v>1</v>
      </c>
    </row>
    <row r="19" spans="1:9" ht="31.5" x14ac:dyDescent="0.25">
      <c r="A19" s="143"/>
      <c r="B19" s="169"/>
      <c r="C19" s="47" t="s">
        <v>13</v>
      </c>
      <c r="D19" s="13">
        <v>2100.4</v>
      </c>
      <c r="E19" s="13">
        <v>2100.4</v>
      </c>
      <c r="F19" s="13">
        <v>2100.4</v>
      </c>
      <c r="G19" s="13">
        <v>2100.4</v>
      </c>
      <c r="H19" s="69" t="s">
        <v>172</v>
      </c>
      <c r="I19" s="9">
        <f t="shared" si="0"/>
        <v>1</v>
      </c>
    </row>
    <row r="20" spans="1:9" ht="63" customHeight="1" x14ac:dyDescent="0.25">
      <c r="A20" s="142"/>
      <c r="B20" s="168" t="s">
        <v>203</v>
      </c>
      <c r="C20" s="71" t="s">
        <v>101</v>
      </c>
      <c r="D20" s="72">
        <v>84973.1</v>
      </c>
      <c r="E20" s="72">
        <v>84973.1</v>
      </c>
      <c r="F20" s="72">
        <v>84973.1</v>
      </c>
      <c r="G20" s="72">
        <v>84973.1</v>
      </c>
      <c r="H20" s="69" t="s">
        <v>172</v>
      </c>
      <c r="I20" s="9">
        <f t="shared" si="0"/>
        <v>1</v>
      </c>
    </row>
    <row r="21" spans="1:9" ht="31.5" x14ac:dyDescent="0.25">
      <c r="A21" s="143"/>
      <c r="B21" s="169"/>
      <c r="C21" s="71" t="s">
        <v>13</v>
      </c>
      <c r="D21" s="72">
        <v>7919.1</v>
      </c>
      <c r="E21" s="72">
        <v>7919.1</v>
      </c>
      <c r="F21" s="72">
        <v>7919.1</v>
      </c>
      <c r="G21" s="72">
        <v>7919.1</v>
      </c>
      <c r="H21" s="69" t="s">
        <v>172</v>
      </c>
      <c r="I21" s="9">
        <f t="shared" si="0"/>
        <v>1</v>
      </c>
    </row>
    <row r="22" spans="1:9" ht="78.75" customHeight="1" x14ac:dyDescent="0.25">
      <c r="A22" s="70"/>
      <c r="B22" s="167" t="s">
        <v>204</v>
      </c>
      <c r="C22" s="71" t="s">
        <v>15</v>
      </c>
      <c r="D22" s="7">
        <v>24208.1</v>
      </c>
      <c r="E22" s="7">
        <v>24208.1</v>
      </c>
      <c r="F22" s="7">
        <v>24208.1</v>
      </c>
      <c r="G22" s="7">
        <v>24208.1</v>
      </c>
      <c r="H22" s="69" t="s">
        <v>172</v>
      </c>
      <c r="I22" s="9">
        <f t="shared" si="0"/>
        <v>1</v>
      </c>
    </row>
    <row r="23" spans="1:9" x14ac:dyDescent="0.25">
      <c r="A23" s="144"/>
      <c r="B23" s="106" t="s">
        <v>17</v>
      </c>
      <c r="C23" s="46" t="s">
        <v>16</v>
      </c>
      <c r="D23" s="10">
        <f>D24+D25+D26</f>
        <v>393339.89999999997</v>
      </c>
      <c r="E23" s="10">
        <f>E24+E25+E26</f>
        <v>393339.89999999997</v>
      </c>
      <c r="F23" s="10">
        <f>F24+F25+F26</f>
        <v>388810.6</v>
      </c>
      <c r="G23" s="10">
        <f>G24+G25+G26</f>
        <v>388736.1</v>
      </c>
      <c r="H23" s="73" t="s">
        <v>172</v>
      </c>
      <c r="I23" s="12">
        <f t="shared" si="0"/>
        <v>0.98829999999999996</v>
      </c>
    </row>
    <row r="24" spans="1:9" ht="31.5" x14ac:dyDescent="0.25">
      <c r="A24" s="146"/>
      <c r="B24" s="121"/>
      <c r="C24" s="47" t="s">
        <v>101</v>
      </c>
      <c r="D24" s="7">
        <f>D18+D20</f>
        <v>107510.40000000001</v>
      </c>
      <c r="E24" s="7">
        <f>E18+E20</f>
        <v>107510.40000000001</v>
      </c>
      <c r="F24" s="7">
        <f t="shared" ref="F24:G24" si="1">F18+F20</f>
        <v>107510.40000000001</v>
      </c>
      <c r="G24" s="7">
        <f t="shared" si="1"/>
        <v>107510.40000000001</v>
      </c>
      <c r="H24" s="69" t="s">
        <v>172</v>
      </c>
      <c r="I24" s="9">
        <f t="shared" si="0"/>
        <v>1</v>
      </c>
    </row>
    <row r="25" spans="1:9" ht="47.25" x14ac:dyDescent="0.25">
      <c r="A25" s="146"/>
      <c r="B25" s="121"/>
      <c r="C25" s="47" t="s">
        <v>15</v>
      </c>
      <c r="D25" s="7">
        <f>D22</f>
        <v>24208.1</v>
      </c>
      <c r="E25" s="7">
        <f>E22</f>
        <v>24208.1</v>
      </c>
      <c r="F25" s="7">
        <f t="shared" ref="F25:G25" si="2">F22</f>
        <v>24208.1</v>
      </c>
      <c r="G25" s="7">
        <f t="shared" si="2"/>
        <v>24208.1</v>
      </c>
      <c r="H25" s="69" t="s">
        <v>172</v>
      </c>
      <c r="I25" s="9">
        <f t="shared" si="0"/>
        <v>1</v>
      </c>
    </row>
    <row r="26" spans="1:9" ht="31.5" x14ac:dyDescent="0.25">
      <c r="A26" s="146"/>
      <c r="B26" s="121"/>
      <c r="C26" s="47" t="s">
        <v>13</v>
      </c>
      <c r="D26" s="7">
        <f>D10+D11+D12+D13+D14+D15+D16+D17+D19+D21-0.1</f>
        <v>261621.39999999997</v>
      </c>
      <c r="E26" s="7">
        <f>E10+E11+E12+E13+E14+E15+E16+E17+E19+E21-0.1</f>
        <v>261621.39999999997</v>
      </c>
      <c r="F26" s="7">
        <f>F10+F11+F12+F13+F14+F15+F16+F17+F19+F21-0.1</f>
        <v>257092.09999999998</v>
      </c>
      <c r="G26" s="7">
        <f>G10+G11+G12+G13+G14+G15+G16+G17+G19+G21-0.1</f>
        <v>257017.59999999998</v>
      </c>
      <c r="H26" s="69" t="s">
        <v>172</v>
      </c>
      <c r="I26" s="9">
        <f t="shared" si="0"/>
        <v>0.98240000000000005</v>
      </c>
    </row>
    <row r="27" spans="1:9" x14ac:dyDescent="0.25">
      <c r="A27" s="17"/>
      <c r="B27" s="133" t="s">
        <v>192</v>
      </c>
      <c r="C27" s="134"/>
      <c r="D27" s="134"/>
      <c r="E27" s="134"/>
      <c r="F27" s="134"/>
      <c r="G27" s="134"/>
      <c r="H27" s="134"/>
      <c r="I27" s="135"/>
    </row>
    <row r="28" spans="1:9" ht="78.75" x14ac:dyDescent="0.25">
      <c r="A28" s="6"/>
      <c r="B28" s="47" t="s">
        <v>34</v>
      </c>
      <c r="C28" s="47" t="s">
        <v>13</v>
      </c>
      <c r="D28" s="7">
        <v>1409.2</v>
      </c>
      <c r="E28" s="7">
        <v>1409.2</v>
      </c>
      <c r="F28" s="7">
        <v>1234.8</v>
      </c>
      <c r="G28" s="7">
        <v>1234.8</v>
      </c>
      <c r="H28" s="8" t="s">
        <v>172</v>
      </c>
      <c r="I28" s="9">
        <f t="shared" ref="I28:I33" si="3">ROUND(G28/E28,4)</f>
        <v>0.87619999999999998</v>
      </c>
    </row>
    <row r="29" spans="1:9" ht="47.25" x14ac:dyDescent="0.25">
      <c r="A29" s="6"/>
      <c r="B29" s="47" t="s">
        <v>61</v>
      </c>
      <c r="C29" s="47" t="s">
        <v>15</v>
      </c>
      <c r="D29" s="7">
        <v>3383.5</v>
      </c>
      <c r="E29" s="7">
        <v>3383.5</v>
      </c>
      <c r="F29" s="7">
        <v>3383.5</v>
      </c>
      <c r="G29" s="7">
        <v>3383.5</v>
      </c>
      <c r="H29" s="74" t="s">
        <v>172</v>
      </c>
      <c r="I29" s="18">
        <f t="shared" si="3"/>
        <v>1</v>
      </c>
    </row>
    <row r="30" spans="1:9" ht="63" x14ac:dyDescent="0.25">
      <c r="A30" s="6"/>
      <c r="B30" s="47" t="s">
        <v>62</v>
      </c>
      <c r="C30" s="47" t="s">
        <v>13</v>
      </c>
      <c r="D30" s="7">
        <v>1283.4000000000001</v>
      </c>
      <c r="E30" s="7">
        <v>1283.4000000000001</v>
      </c>
      <c r="F30" s="7">
        <v>1283.4000000000001</v>
      </c>
      <c r="G30" s="7">
        <v>1283.4000000000001</v>
      </c>
      <c r="H30" s="19" t="s">
        <v>172</v>
      </c>
      <c r="I30" s="20">
        <f t="shared" si="3"/>
        <v>1</v>
      </c>
    </row>
    <row r="31" spans="1:9" x14ac:dyDescent="0.25">
      <c r="A31" s="124"/>
      <c r="B31" s="125" t="s">
        <v>17</v>
      </c>
      <c r="C31" s="46" t="s">
        <v>16</v>
      </c>
      <c r="D31" s="10">
        <f>D32+D33</f>
        <v>6076.1</v>
      </c>
      <c r="E31" s="10">
        <f>E32+E33</f>
        <v>6076.1</v>
      </c>
      <c r="F31" s="10">
        <f>F32+F33</f>
        <v>5901.7</v>
      </c>
      <c r="G31" s="10">
        <f>G32+G33</f>
        <v>5901.7</v>
      </c>
      <c r="H31" s="75" t="s">
        <v>172</v>
      </c>
      <c r="I31" s="76">
        <f t="shared" si="3"/>
        <v>0.97130000000000005</v>
      </c>
    </row>
    <row r="32" spans="1:9" ht="31.5" x14ac:dyDescent="0.25">
      <c r="A32" s="124"/>
      <c r="B32" s="126"/>
      <c r="C32" s="47" t="s">
        <v>13</v>
      </c>
      <c r="D32" s="7">
        <f>D28+D30</f>
        <v>2692.6000000000004</v>
      </c>
      <c r="E32" s="7">
        <f>E28+E30</f>
        <v>2692.6000000000004</v>
      </c>
      <c r="F32" s="7">
        <f>F28+F30</f>
        <v>2518.1999999999998</v>
      </c>
      <c r="G32" s="7">
        <f>G28+G30</f>
        <v>2518.1999999999998</v>
      </c>
      <c r="H32" s="19" t="s">
        <v>172</v>
      </c>
      <c r="I32" s="20">
        <f t="shared" si="3"/>
        <v>0.93520000000000003</v>
      </c>
    </row>
    <row r="33" spans="1:14" ht="47.25" x14ac:dyDescent="0.25">
      <c r="A33" s="124"/>
      <c r="B33" s="126"/>
      <c r="C33" s="47" t="s">
        <v>15</v>
      </c>
      <c r="D33" s="7">
        <f>D29</f>
        <v>3383.5</v>
      </c>
      <c r="E33" s="7">
        <f>E29</f>
        <v>3383.5</v>
      </c>
      <c r="F33" s="7">
        <f>F29</f>
        <v>3383.5</v>
      </c>
      <c r="G33" s="7">
        <f>G29</f>
        <v>3383.5</v>
      </c>
      <c r="H33" s="8" t="s">
        <v>172</v>
      </c>
      <c r="I33" s="9">
        <f t="shared" si="3"/>
        <v>1</v>
      </c>
    </row>
    <row r="34" spans="1:14" s="5" customFormat="1" x14ac:dyDescent="0.25">
      <c r="A34" s="21"/>
      <c r="B34" s="133" t="s">
        <v>193</v>
      </c>
      <c r="C34" s="134"/>
      <c r="D34" s="134"/>
      <c r="E34" s="134"/>
      <c r="F34" s="134"/>
      <c r="G34" s="134"/>
      <c r="H34" s="134"/>
      <c r="I34" s="135"/>
      <c r="J34" s="129"/>
      <c r="K34" s="129"/>
      <c r="L34" s="129"/>
      <c r="M34" s="129"/>
      <c r="N34" s="129"/>
    </row>
    <row r="35" spans="1:14" s="5" customFormat="1" ht="78.75" x14ac:dyDescent="0.25">
      <c r="A35" s="6"/>
      <c r="B35" s="166" t="s">
        <v>26</v>
      </c>
      <c r="C35" s="47" t="s">
        <v>13</v>
      </c>
      <c r="D35" s="7">
        <v>392502</v>
      </c>
      <c r="E35" s="7">
        <v>392447.4</v>
      </c>
      <c r="F35" s="7">
        <v>369287.4</v>
      </c>
      <c r="G35" s="7">
        <v>369287.4</v>
      </c>
      <c r="H35" s="19" t="s">
        <v>172</v>
      </c>
      <c r="I35" s="20">
        <f t="shared" ref="I35:I45" si="4">ROUND(G35/E35,4)</f>
        <v>0.94099999999999995</v>
      </c>
    </row>
    <row r="36" spans="1:14" s="5" customFormat="1" ht="78.75" x14ac:dyDescent="0.25">
      <c r="A36" s="6"/>
      <c r="B36" s="166" t="s">
        <v>25</v>
      </c>
      <c r="C36" s="47" t="s">
        <v>13</v>
      </c>
      <c r="D36" s="7">
        <v>11057.8</v>
      </c>
      <c r="E36" s="7">
        <v>11057.8</v>
      </c>
      <c r="F36" s="7">
        <v>8406.7000000000007</v>
      </c>
      <c r="G36" s="7">
        <v>8341.6</v>
      </c>
      <c r="H36" s="19" t="s">
        <v>172</v>
      </c>
      <c r="I36" s="20">
        <f t="shared" si="4"/>
        <v>0.75439999999999996</v>
      </c>
    </row>
    <row r="37" spans="1:14" s="5" customFormat="1" ht="78.75" x14ac:dyDescent="0.25">
      <c r="A37" s="6"/>
      <c r="B37" s="166" t="s">
        <v>255</v>
      </c>
      <c r="C37" s="47" t="s">
        <v>15</v>
      </c>
      <c r="D37" s="7">
        <v>14418.65</v>
      </c>
      <c r="E37" s="7">
        <v>14418.65</v>
      </c>
      <c r="F37" s="7">
        <v>14418.7</v>
      </c>
      <c r="G37" s="7">
        <v>14418.7</v>
      </c>
      <c r="H37" s="19" t="s">
        <v>172</v>
      </c>
      <c r="I37" s="20">
        <f t="shared" si="4"/>
        <v>1</v>
      </c>
    </row>
    <row r="38" spans="1:14" s="5" customFormat="1" ht="63" x14ac:dyDescent="0.25">
      <c r="A38" s="6"/>
      <c r="B38" s="166" t="s">
        <v>215</v>
      </c>
      <c r="C38" s="47" t="s">
        <v>15</v>
      </c>
      <c r="D38" s="7">
        <v>515862.4</v>
      </c>
      <c r="E38" s="7">
        <v>515862.4</v>
      </c>
      <c r="F38" s="7">
        <v>511526.1</v>
      </c>
      <c r="G38" s="7">
        <v>511526.1</v>
      </c>
      <c r="H38" s="8" t="s">
        <v>172</v>
      </c>
      <c r="I38" s="20">
        <f t="shared" si="4"/>
        <v>0.99160000000000004</v>
      </c>
    </row>
    <row r="39" spans="1:14" s="5" customFormat="1" ht="78.75" x14ac:dyDescent="0.25">
      <c r="A39" s="6"/>
      <c r="B39" s="166" t="s">
        <v>64</v>
      </c>
      <c r="C39" s="47" t="s">
        <v>13</v>
      </c>
      <c r="D39" s="7">
        <v>5469.14</v>
      </c>
      <c r="E39" s="7">
        <v>5469.14</v>
      </c>
      <c r="F39" s="7">
        <v>5469.1</v>
      </c>
      <c r="G39" s="7">
        <v>5469.1</v>
      </c>
      <c r="H39" s="77" t="s">
        <v>172</v>
      </c>
      <c r="I39" s="9">
        <f t="shared" si="4"/>
        <v>1</v>
      </c>
    </row>
    <row r="40" spans="1:14" s="5" customFormat="1" ht="94.5" x14ac:dyDescent="0.25">
      <c r="A40" s="6"/>
      <c r="B40" s="166" t="s">
        <v>124</v>
      </c>
      <c r="C40" s="47" t="s">
        <v>13</v>
      </c>
      <c r="D40" s="7">
        <v>50</v>
      </c>
      <c r="E40" s="7">
        <v>50</v>
      </c>
      <c r="F40" s="7">
        <v>0</v>
      </c>
      <c r="G40" s="7">
        <v>0</v>
      </c>
      <c r="H40" s="77" t="s">
        <v>172</v>
      </c>
      <c r="I40" s="22">
        <f t="shared" si="4"/>
        <v>0</v>
      </c>
    </row>
    <row r="41" spans="1:14" s="5" customFormat="1" ht="78.75" x14ac:dyDescent="0.25">
      <c r="A41" s="6"/>
      <c r="B41" s="166" t="s">
        <v>253</v>
      </c>
      <c r="C41" s="102" t="s">
        <v>15</v>
      </c>
      <c r="D41" s="7">
        <v>2461.4</v>
      </c>
      <c r="E41" s="7">
        <v>2461.4</v>
      </c>
      <c r="F41" s="7">
        <v>2461.4</v>
      </c>
      <c r="G41" s="7">
        <v>2461.4</v>
      </c>
      <c r="H41" s="77" t="s">
        <v>172</v>
      </c>
      <c r="I41" s="22">
        <f t="shared" si="4"/>
        <v>1</v>
      </c>
    </row>
    <row r="42" spans="1:14" s="5" customFormat="1" ht="267.75" x14ac:dyDescent="0.25">
      <c r="A42" s="6"/>
      <c r="B42" s="166" t="s">
        <v>256</v>
      </c>
      <c r="C42" s="102" t="s">
        <v>15</v>
      </c>
      <c r="D42" s="7">
        <v>838.5</v>
      </c>
      <c r="E42" s="7">
        <v>838.5</v>
      </c>
      <c r="F42" s="7">
        <v>838.5</v>
      </c>
      <c r="G42" s="7">
        <v>838.5</v>
      </c>
      <c r="H42" s="77" t="s">
        <v>172</v>
      </c>
      <c r="I42" s="22">
        <f t="shared" si="4"/>
        <v>1</v>
      </c>
    </row>
    <row r="43" spans="1:14" x14ac:dyDescent="0.25">
      <c r="A43" s="124"/>
      <c r="B43" s="125" t="s">
        <v>17</v>
      </c>
      <c r="C43" s="46" t="s">
        <v>16</v>
      </c>
      <c r="D43" s="10">
        <f>D44+D45</f>
        <v>942659.79</v>
      </c>
      <c r="E43" s="10">
        <f>E44+E45</f>
        <v>942605.19000000018</v>
      </c>
      <c r="F43" s="10">
        <f>F44+F45</f>
        <v>912407.8</v>
      </c>
      <c r="G43" s="10">
        <f>G44+G45</f>
        <v>912342.79999999993</v>
      </c>
      <c r="H43" s="78" t="s">
        <v>172</v>
      </c>
      <c r="I43" s="79">
        <f t="shared" si="4"/>
        <v>0.96789999999999998</v>
      </c>
      <c r="K43" s="81"/>
    </row>
    <row r="44" spans="1:14" ht="31.5" x14ac:dyDescent="0.25">
      <c r="A44" s="124"/>
      <c r="B44" s="126"/>
      <c r="C44" s="47" t="s">
        <v>13</v>
      </c>
      <c r="D44" s="7">
        <f>D35+D36+D39+D40-0.1</f>
        <v>409078.84</v>
      </c>
      <c r="E44" s="7">
        <f>E35+E36+E39+E40-0.1</f>
        <v>409024.24000000005</v>
      </c>
      <c r="F44" s="7">
        <f>F35+F36+F39+F40-0.1</f>
        <v>383163.10000000003</v>
      </c>
      <c r="G44" s="7">
        <f t="shared" ref="G44" si="5">G35+G36+G39+G40</f>
        <v>383098.1</v>
      </c>
      <c r="H44" s="77" t="s">
        <v>172</v>
      </c>
      <c r="I44" s="22">
        <f t="shared" si="4"/>
        <v>0.93659999999999999</v>
      </c>
    </row>
    <row r="45" spans="1:14" ht="47.25" x14ac:dyDescent="0.25">
      <c r="A45" s="124"/>
      <c r="B45" s="126"/>
      <c r="C45" s="47" t="s">
        <v>15</v>
      </c>
      <c r="D45" s="7">
        <f>D37+D38+D41+D42</f>
        <v>533580.95000000007</v>
      </c>
      <c r="E45" s="7">
        <f>E37+E38+E41+E42</f>
        <v>533580.95000000007</v>
      </c>
      <c r="F45" s="7">
        <f>F37+F38+F41+F42</f>
        <v>529244.69999999995</v>
      </c>
      <c r="G45" s="7">
        <f>G37+G38+G41+G42</f>
        <v>529244.69999999995</v>
      </c>
      <c r="H45" s="77" t="s">
        <v>172</v>
      </c>
      <c r="I45" s="22">
        <f t="shared" si="4"/>
        <v>0.9919</v>
      </c>
    </row>
    <row r="46" spans="1:14" s="5" customFormat="1" x14ac:dyDescent="0.25">
      <c r="A46" s="21"/>
      <c r="B46" s="133" t="s">
        <v>194</v>
      </c>
      <c r="C46" s="134"/>
      <c r="D46" s="134"/>
      <c r="E46" s="134"/>
      <c r="F46" s="134"/>
      <c r="G46" s="134"/>
      <c r="H46" s="134"/>
      <c r="I46" s="135"/>
      <c r="J46" s="129"/>
      <c r="K46" s="129"/>
      <c r="L46" s="129"/>
      <c r="M46" s="129"/>
      <c r="N46" s="129"/>
    </row>
    <row r="47" spans="1:14" s="5" customFormat="1" ht="78.75" x14ac:dyDescent="0.25">
      <c r="A47" s="6"/>
      <c r="B47" s="166" t="s">
        <v>35</v>
      </c>
      <c r="C47" s="47" t="s">
        <v>13</v>
      </c>
      <c r="D47" s="7">
        <v>230129.7</v>
      </c>
      <c r="E47" s="7">
        <v>230011.7</v>
      </c>
      <c r="F47" s="7">
        <v>215192.8</v>
      </c>
      <c r="G47" s="7">
        <v>215192.8</v>
      </c>
      <c r="H47" s="8" t="s">
        <v>172</v>
      </c>
      <c r="I47" s="9">
        <f t="shared" ref="I47:I63" si="6">ROUND(G47/E47,4)</f>
        <v>0.93559999999999999</v>
      </c>
    </row>
    <row r="48" spans="1:14" s="5" customFormat="1" ht="78.75" x14ac:dyDescent="0.25">
      <c r="A48" s="6"/>
      <c r="B48" s="166" t="s">
        <v>216</v>
      </c>
      <c r="C48" s="47" t="s">
        <v>13</v>
      </c>
      <c r="D48" s="7">
        <v>9616.4</v>
      </c>
      <c r="E48" s="7">
        <v>9616.4</v>
      </c>
      <c r="F48" s="7">
        <v>7528.8</v>
      </c>
      <c r="G48" s="7">
        <v>7505.3</v>
      </c>
      <c r="H48" s="8" t="s">
        <v>172</v>
      </c>
      <c r="I48" s="9">
        <f t="shared" si="6"/>
        <v>0.78049999999999997</v>
      </c>
    </row>
    <row r="49" spans="1:9" s="5" customFormat="1" ht="126" x14ac:dyDescent="0.25">
      <c r="A49" s="6"/>
      <c r="B49" s="166" t="s">
        <v>257</v>
      </c>
      <c r="C49" s="47" t="s">
        <v>15</v>
      </c>
      <c r="D49" s="23">
        <v>1253.8</v>
      </c>
      <c r="E49" s="23">
        <v>1253.8</v>
      </c>
      <c r="F49" s="23">
        <v>1118</v>
      </c>
      <c r="G49" s="23">
        <v>1118</v>
      </c>
      <c r="H49" s="8" t="s">
        <v>172</v>
      </c>
      <c r="I49" s="9">
        <f t="shared" si="6"/>
        <v>0.89170000000000005</v>
      </c>
    </row>
    <row r="50" spans="1:9" s="5" customFormat="1" ht="63" x14ac:dyDescent="0.25">
      <c r="A50" s="6"/>
      <c r="B50" s="166" t="s">
        <v>215</v>
      </c>
      <c r="C50" s="47" t="s">
        <v>15</v>
      </c>
      <c r="D50" s="7">
        <v>866522.5</v>
      </c>
      <c r="E50" s="7">
        <v>866522.5</v>
      </c>
      <c r="F50" s="7">
        <v>823550.2</v>
      </c>
      <c r="G50" s="7">
        <v>823550.2</v>
      </c>
      <c r="H50" s="8" t="s">
        <v>172</v>
      </c>
      <c r="I50" s="9">
        <f t="shared" si="6"/>
        <v>0.95040000000000002</v>
      </c>
    </row>
    <row r="51" spans="1:9" s="5" customFormat="1" ht="47.25" x14ac:dyDescent="0.25">
      <c r="A51" s="6"/>
      <c r="B51" s="166" t="s">
        <v>189</v>
      </c>
      <c r="C51" s="47" t="s">
        <v>15</v>
      </c>
      <c r="D51" s="7">
        <v>21564.5</v>
      </c>
      <c r="E51" s="7">
        <v>21564.5</v>
      </c>
      <c r="F51" s="7">
        <v>20210</v>
      </c>
      <c r="G51" s="7">
        <v>20210</v>
      </c>
      <c r="H51" s="8" t="s">
        <v>172</v>
      </c>
      <c r="I51" s="9">
        <f t="shared" si="6"/>
        <v>0.93720000000000003</v>
      </c>
    </row>
    <row r="52" spans="1:9" s="5" customFormat="1" ht="78.75" x14ac:dyDescent="0.25">
      <c r="A52" s="6"/>
      <c r="B52" s="166" t="s">
        <v>165</v>
      </c>
      <c r="C52" s="47" t="s">
        <v>13</v>
      </c>
      <c r="D52" s="7">
        <v>150.6</v>
      </c>
      <c r="E52" s="7">
        <v>150.6</v>
      </c>
      <c r="F52" s="7">
        <v>136.9</v>
      </c>
      <c r="G52" s="7">
        <v>136.9</v>
      </c>
      <c r="H52" s="8" t="s">
        <v>172</v>
      </c>
      <c r="I52" s="9">
        <f t="shared" si="6"/>
        <v>0.90900000000000003</v>
      </c>
    </row>
    <row r="53" spans="1:9" s="5" customFormat="1" ht="110.25" x14ac:dyDescent="0.25">
      <c r="A53" s="6"/>
      <c r="B53" s="166" t="s">
        <v>54</v>
      </c>
      <c r="C53" s="47" t="s">
        <v>13</v>
      </c>
      <c r="D53" s="23">
        <v>3151.9</v>
      </c>
      <c r="E53" s="23">
        <v>3151.9</v>
      </c>
      <c r="F53" s="23">
        <v>2810.3</v>
      </c>
      <c r="G53" s="23">
        <v>2810.3</v>
      </c>
      <c r="H53" s="8" t="s">
        <v>172</v>
      </c>
      <c r="I53" s="9">
        <f t="shared" si="6"/>
        <v>0.89159999999999995</v>
      </c>
    </row>
    <row r="54" spans="1:9" s="5" customFormat="1" ht="141.75" x14ac:dyDescent="0.25">
      <c r="A54" s="6"/>
      <c r="B54" s="166" t="s">
        <v>221</v>
      </c>
      <c r="C54" s="47" t="s">
        <v>191</v>
      </c>
      <c r="D54" s="7">
        <v>71666.8</v>
      </c>
      <c r="E54" s="7">
        <v>71666.8</v>
      </c>
      <c r="F54" s="7">
        <v>71666.8</v>
      </c>
      <c r="G54" s="7">
        <v>71666.8</v>
      </c>
      <c r="H54" s="8" t="s">
        <v>172</v>
      </c>
      <c r="I54" s="9">
        <f t="shared" si="6"/>
        <v>1</v>
      </c>
    </row>
    <row r="55" spans="1:9" s="5" customFormat="1" ht="78.75" x14ac:dyDescent="0.25">
      <c r="A55" s="6"/>
      <c r="B55" s="166" t="s">
        <v>253</v>
      </c>
      <c r="C55" s="47" t="s">
        <v>15</v>
      </c>
      <c r="D55" s="7">
        <v>29.9</v>
      </c>
      <c r="E55" s="7">
        <v>29.9</v>
      </c>
      <c r="F55" s="7">
        <v>29.9</v>
      </c>
      <c r="G55" s="7">
        <v>29.9</v>
      </c>
      <c r="H55" s="8" t="s">
        <v>172</v>
      </c>
      <c r="I55" s="9">
        <f t="shared" si="6"/>
        <v>1</v>
      </c>
    </row>
    <row r="56" spans="1:9" s="5" customFormat="1" ht="78.75" x14ac:dyDescent="0.25">
      <c r="A56" s="6"/>
      <c r="B56" s="170" t="s">
        <v>217</v>
      </c>
      <c r="C56" s="47" t="s">
        <v>15</v>
      </c>
      <c r="D56" s="7">
        <v>2162</v>
      </c>
      <c r="E56" s="7">
        <v>2162</v>
      </c>
      <c r="F56" s="7">
        <v>1835.1</v>
      </c>
      <c r="G56" s="7">
        <v>1800.1</v>
      </c>
      <c r="H56" s="8" t="s">
        <v>172</v>
      </c>
      <c r="I56" s="9">
        <f t="shared" si="6"/>
        <v>0.83260000000000001</v>
      </c>
    </row>
    <row r="57" spans="1:9" s="5" customFormat="1" ht="210.75" customHeight="1" x14ac:dyDescent="0.25">
      <c r="A57" s="6"/>
      <c r="B57" s="171" t="s">
        <v>258</v>
      </c>
      <c r="C57" s="47" t="s">
        <v>15</v>
      </c>
      <c r="D57" s="80">
        <v>757.1</v>
      </c>
      <c r="E57" s="80">
        <v>757.1</v>
      </c>
      <c r="F57" s="80">
        <v>622.5</v>
      </c>
      <c r="G57" s="80">
        <v>622.5</v>
      </c>
      <c r="H57" s="8" t="s">
        <v>172</v>
      </c>
      <c r="I57" s="9">
        <f t="shared" si="6"/>
        <v>0.82220000000000004</v>
      </c>
    </row>
    <row r="58" spans="1:9" s="5" customFormat="1" ht="94.5" x14ac:dyDescent="0.25">
      <c r="A58" s="70"/>
      <c r="B58" s="172" t="s">
        <v>218</v>
      </c>
      <c r="C58" s="47" t="s">
        <v>15</v>
      </c>
      <c r="D58" s="80">
        <v>904.5</v>
      </c>
      <c r="E58" s="80">
        <v>904.5</v>
      </c>
      <c r="F58" s="80">
        <v>904.5</v>
      </c>
      <c r="G58" s="80">
        <v>904.5</v>
      </c>
      <c r="H58" s="8" t="s">
        <v>172</v>
      </c>
      <c r="I58" s="9">
        <f t="shared" si="6"/>
        <v>1</v>
      </c>
    </row>
    <row r="59" spans="1:9" s="5" customFormat="1" ht="31.5" x14ac:dyDescent="0.25">
      <c r="A59" s="142"/>
      <c r="B59" s="168" t="s">
        <v>112</v>
      </c>
      <c r="C59" s="47" t="s">
        <v>101</v>
      </c>
      <c r="D59" s="7">
        <v>26318.2</v>
      </c>
      <c r="E59" s="7">
        <v>26318.2</v>
      </c>
      <c r="F59" s="7">
        <v>26318.2</v>
      </c>
      <c r="G59" s="7">
        <v>26318.2</v>
      </c>
      <c r="H59" s="8" t="s">
        <v>172</v>
      </c>
      <c r="I59" s="9">
        <f t="shared" si="6"/>
        <v>1</v>
      </c>
    </row>
    <row r="60" spans="1:9" s="5" customFormat="1" ht="31.5" x14ac:dyDescent="0.25">
      <c r="A60" s="143"/>
      <c r="B60" s="169"/>
      <c r="C60" s="47" t="s">
        <v>13</v>
      </c>
      <c r="D60" s="7">
        <v>537.20000000000005</v>
      </c>
      <c r="E60" s="7">
        <v>537.20000000000005</v>
      </c>
      <c r="F60" s="7">
        <v>537.20000000000005</v>
      </c>
      <c r="G60" s="7">
        <v>537.20000000000005</v>
      </c>
      <c r="H60" s="8" t="s">
        <v>172</v>
      </c>
      <c r="I60" s="9">
        <f t="shared" si="6"/>
        <v>1</v>
      </c>
    </row>
    <row r="61" spans="1:9" s="5" customFormat="1" ht="78.75" x14ac:dyDescent="0.25">
      <c r="A61" s="6"/>
      <c r="B61" s="166" t="s">
        <v>219</v>
      </c>
      <c r="C61" s="47" t="s">
        <v>13</v>
      </c>
      <c r="D61" s="7">
        <v>904.5</v>
      </c>
      <c r="E61" s="7">
        <v>904.5</v>
      </c>
      <c r="F61" s="7">
        <v>904.5</v>
      </c>
      <c r="G61" s="7">
        <v>904.5</v>
      </c>
      <c r="H61" s="8" t="s">
        <v>172</v>
      </c>
      <c r="I61" s="9">
        <f t="shared" si="6"/>
        <v>1</v>
      </c>
    </row>
    <row r="62" spans="1:9" s="5" customFormat="1" ht="78.75" x14ac:dyDescent="0.25">
      <c r="A62" s="6"/>
      <c r="B62" s="166" t="s">
        <v>259</v>
      </c>
      <c r="C62" s="102" t="s">
        <v>15</v>
      </c>
      <c r="D62" s="7">
        <v>7375.4</v>
      </c>
      <c r="E62" s="7">
        <v>7375.4</v>
      </c>
      <c r="F62" s="7">
        <v>6710</v>
      </c>
      <c r="G62" s="7">
        <v>6710</v>
      </c>
      <c r="H62" s="8" t="s">
        <v>172</v>
      </c>
      <c r="I62" s="9">
        <f t="shared" si="6"/>
        <v>0.90980000000000005</v>
      </c>
    </row>
    <row r="63" spans="1:9" s="5" customFormat="1" ht="267.75" x14ac:dyDescent="0.25">
      <c r="A63" s="6"/>
      <c r="B63" s="166" t="s">
        <v>256</v>
      </c>
      <c r="C63" s="102" t="s">
        <v>15</v>
      </c>
      <c r="D63" s="7">
        <v>1257.7</v>
      </c>
      <c r="E63" s="7">
        <v>1257.7</v>
      </c>
      <c r="F63" s="7">
        <v>1257.7</v>
      </c>
      <c r="G63" s="7">
        <v>1257.7</v>
      </c>
      <c r="H63" s="8" t="s">
        <v>172</v>
      </c>
      <c r="I63" s="9">
        <f t="shared" si="6"/>
        <v>1</v>
      </c>
    </row>
    <row r="64" spans="1:9" s="5" customFormat="1" ht="94.5" x14ac:dyDescent="0.25">
      <c r="A64" s="6"/>
      <c r="B64" s="166" t="s">
        <v>190</v>
      </c>
      <c r="C64" s="47" t="s">
        <v>191</v>
      </c>
      <c r="D64" s="7">
        <v>7396.2</v>
      </c>
      <c r="E64" s="7">
        <v>7396.2</v>
      </c>
      <c r="F64" s="7">
        <v>7396.2</v>
      </c>
      <c r="G64" s="7">
        <v>7396.2</v>
      </c>
      <c r="H64" s="8" t="s">
        <v>172</v>
      </c>
      <c r="I64" s="9">
        <f t="shared" ref="I64:I71" si="7">ROUND(G64/E64,4)</f>
        <v>1</v>
      </c>
    </row>
    <row r="65" spans="1:11" s="5" customFormat="1" ht="94.5" x14ac:dyDescent="0.25">
      <c r="A65" s="6"/>
      <c r="B65" s="166" t="s">
        <v>124</v>
      </c>
      <c r="C65" s="47" t="s">
        <v>13</v>
      </c>
      <c r="D65" s="7">
        <v>172.1</v>
      </c>
      <c r="E65" s="7">
        <v>172.1</v>
      </c>
      <c r="F65" s="7">
        <v>117.2</v>
      </c>
      <c r="G65" s="7">
        <v>117.2</v>
      </c>
      <c r="H65" s="8" t="s">
        <v>172</v>
      </c>
      <c r="I65" s="9">
        <f t="shared" si="7"/>
        <v>0.68100000000000005</v>
      </c>
    </row>
    <row r="66" spans="1:11" s="5" customFormat="1" ht="204.75" x14ac:dyDescent="0.25">
      <c r="A66" s="6"/>
      <c r="B66" s="166" t="s">
        <v>220</v>
      </c>
      <c r="C66" s="47" t="s">
        <v>15</v>
      </c>
      <c r="D66" s="7">
        <f>110.8+2467.3</f>
        <v>2578.1000000000004</v>
      </c>
      <c r="E66" s="7">
        <f>110.8+2467.3</f>
        <v>2578.1000000000004</v>
      </c>
      <c r="F66" s="7">
        <f>104.7+2467.3</f>
        <v>2572</v>
      </c>
      <c r="G66" s="7">
        <f>104.7+2467.3</f>
        <v>2572</v>
      </c>
      <c r="H66" s="8" t="s">
        <v>172</v>
      </c>
      <c r="I66" s="9">
        <f t="shared" si="7"/>
        <v>0.99760000000000004</v>
      </c>
    </row>
    <row r="67" spans="1:11" s="5" customFormat="1" ht="141.75" x14ac:dyDescent="0.25">
      <c r="A67" s="6"/>
      <c r="B67" s="166" t="s">
        <v>221</v>
      </c>
      <c r="C67" s="47" t="s">
        <v>191</v>
      </c>
      <c r="D67" s="7">
        <v>3224</v>
      </c>
      <c r="E67" s="7">
        <v>3224</v>
      </c>
      <c r="F67" s="7">
        <v>3224</v>
      </c>
      <c r="G67" s="7">
        <v>3224</v>
      </c>
      <c r="H67" s="8" t="s">
        <v>172</v>
      </c>
      <c r="I67" s="9">
        <f t="shared" si="7"/>
        <v>1</v>
      </c>
    </row>
    <row r="68" spans="1:11" x14ac:dyDescent="0.25">
      <c r="A68" s="124"/>
      <c r="B68" s="125" t="s">
        <v>17</v>
      </c>
      <c r="C68" s="46" t="s">
        <v>16</v>
      </c>
      <c r="D68" s="10">
        <f>D69+D71+D70</f>
        <v>1257673.2000000002</v>
      </c>
      <c r="E68" s="10">
        <f>E69+E71+E70</f>
        <v>1257555.2000000002</v>
      </c>
      <c r="F68" s="10">
        <f>F69+F71+F70</f>
        <v>1194642.8999999999</v>
      </c>
      <c r="G68" s="10">
        <f>G69+G71+G70</f>
        <v>1194584.5</v>
      </c>
      <c r="H68" s="11" t="s">
        <v>172</v>
      </c>
      <c r="I68" s="12">
        <f t="shared" si="7"/>
        <v>0.94989999999999997</v>
      </c>
      <c r="K68" s="81"/>
    </row>
    <row r="69" spans="1:11" ht="31.5" x14ac:dyDescent="0.25">
      <c r="A69" s="124"/>
      <c r="B69" s="126"/>
      <c r="C69" s="47" t="s">
        <v>13</v>
      </c>
      <c r="D69" s="7">
        <f>D65+D61+D60+D53+D52+D48+D47+0.1</f>
        <v>244662.50000000003</v>
      </c>
      <c r="E69" s="7">
        <f>E65+E61+E60+E53+E52+E48+E47+0.1</f>
        <v>244544.50000000003</v>
      </c>
      <c r="F69" s="7">
        <f>F65+F61+F60+F53+F52+F48+F47+0.1</f>
        <v>227227.8</v>
      </c>
      <c r="G69" s="7">
        <f>G65+G61+G60+G53+G52+G48+G47+0.1</f>
        <v>227204.3</v>
      </c>
      <c r="H69" s="8" t="s">
        <v>172</v>
      </c>
      <c r="I69" s="9">
        <f t="shared" si="7"/>
        <v>0.92910000000000004</v>
      </c>
    </row>
    <row r="70" spans="1:11" ht="31.5" x14ac:dyDescent="0.25">
      <c r="A70" s="124"/>
      <c r="B70" s="126"/>
      <c r="C70" s="47" t="s">
        <v>101</v>
      </c>
      <c r="D70" s="7">
        <f>D67+D64+D59+D54</f>
        <v>108605.20000000001</v>
      </c>
      <c r="E70" s="7">
        <f>E67+E64+E59+E54</f>
        <v>108605.20000000001</v>
      </c>
      <c r="F70" s="7">
        <f>F67+F64+F59+F54</f>
        <v>108605.20000000001</v>
      </c>
      <c r="G70" s="7">
        <f>G67+G64+G59+G54+0.1</f>
        <v>108605.30000000002</v>
      </c>
      <c r="H70" s="8" t="s">
        <v>172</v>
      </c>
      <c r="I70" s="9">
        <f t="shared" si="7"/>
        <v>1</v>
      </c>
    </row>
    <row r="71" spans="1:11" ht="47.25" x14ac:dyDescent="0.25">
      <c r="A71" s="124"/>
      <c r="B71" s="126"/>
      <c r="C71" s="47" t="s">
        <v>15</v>
      </c>
      <c r="D71" s="7">
        <f>D66+D63+D62+D58+D57+D56+D51+D50+D49+D55</f>
        <v>904405.50000000012</v>
      </c>
      <c r="E71" s="7">
        <f>E66+E63+E62+E58+E57+E56+E51+E50+E49+E55</f>
        <v>904405.50000000012</v>
      </c>
      <c r="F71" s="7">
        <f>F66+F63+F62+F58+F57+F56+F51+F50+F49+F55</f>
        <v>858809.9</v>
      </c>
      <c r="G71" s="7">
        <f>G66+G63+G62+G58+G57+G56+G51+G50+G49+G55</f>
        <v>858774.9</v>
      </c>
      <c r="H71" s="8" t="s">
        <v>172</v>
      </c>
      <c r="I71" s="9">
        <f t="shared" si="7"/>
        <v>0.94950000000000001</v>
      </c>
    </row>
    <row r="72" spans="1:11" s="5" customFormat="1" x14ac:dyDescent="0.25">
      <c r="A72" s="21"/>
      <c r="B72" s="133" t="s">
        <v>195</v>
      </c>
      <c r="C72" s="134"/>
      <c r="D72" s="134"/>
      <c r="E72" s="134"/>
      <c r="F72" s="134"/>
      <c r="G72" s="134"/>
      <c r="H72" s="134"/>
      <c r="I72" s="135"/>
    </row>
    <row r="73" spans="1:11" ht="78.75" x14ac:dyDescent="0.25">
      <c r="A73" s="52"/>
      <c r="B73" s="166" t="s">
        <v>35</v>
      </c>
      <c r="C73" s="47" t="s">
        <v>13</v>
      </c>
      <c r="D73" s="7">
        <v>229217.4</v>
      </c>
      <c r="E73" s="7">
        <v>229217.4</v>
      </c>
      <c r="F73" s="7">
        <v>221467.5</v>
      </c>
      <c r="G73" s="7">
        <v>221467.5</v>
      </c>
      <c r="H73" s="8" t="s">
        <v>172</v>
      </c>
      <c r="I73" s="9">
        <f>ROUND(G73/E73,4)</f>
        <v>0.96619999999999995</v>
      </c>
    </row>
    <row r="74" spans="1:11" ht="78.75" x14ac:dyDescent="0.25">
      <c r="A74" s="52"/>
      <c r="B74" s="166" t="s">
        <v>25</v>
      </c>
      <c r="C74" s="47" t="s">
        <v>13</v>
      </c>
      <c r="D74" s="7">
        <v>2000</v>
      </c>
      <c r="E74" s="7">
        <v>2000</v>
      </c>
      <c r="F74" s="7">
        <v>1699.3</v>
      </c>
      <c r="G74" s="7">
        <v>1699.3</v>
      </c>
      <c r="H74" s="8" t="s">
        <v>172</v>
      </c>
      <c r="I74" s="9">
        <f>ROUND(G74/E74,4)</f>
        <v>0.84970000000000001</v>
      </c>
    </row>
    <row r="75" spans="1:11" ht="31.5" x14ac:dyDescent="0.25">
      <c r="A75" s="52"/>
      <c r="B75" s="166" t="s">
        <v>50</v>
      </c>
      <c r="C75" s="47" t="s">
        <v>13</v>
      </c>
      <c r="D75" s="7">
        <v>913.9</v>
      </c>
      <c r="E75" s="7">
        <v>913.9</v>
      </c>
      <c r="F75" s="7">
        <v>517</v>
      </c>
      <c r="G75" s="7">
        <v>517</v>
      </c>
      <c r="H75" s="8" t="s">
        <v>172</v>
      </c>
      <c r="I75" s="9">
        <f>ROUND(G75/E75,4)</f>
        <v>0.56569999999999998</v>
      </c>
    </row>
    <row r="76" spans="1:11" ht="66.75" customHeight="1" x14ac:dyDescent="0.25">
      <c r="A76" s="52"/>
      <c r="B76" s="166" t="s">
        <v>222</v>
      </c>
      <c r="C76" s="47" t="s">
        <v>15</v>
      </c>
      <c r="D76" s="7">
        <v>57923.42</v>
      </c>
      <c r="E76" s="7">
        <v>57923.42</v>
      </c>
      <c r="F76" s="7">
        <v>57923.42</v>
      </c>
      <c r="G76" s="7">
        <v>57923.42</v>
      </c>
      <c r="H76" s="8" t="s">
        <v>172</v>
      </c>
      <c r="I76" s="9">
        <f>ROUND(G76/E76,4)</f>
        <v>1</v>
      </c>
    </row>
    <row r="77" spans="1:11" ht="78.75" x14ac:dyDescent="0.25">
      <c r="A77" s="52"/>
      <c r="B77" s="166" t="s">
        <v>223</v>
      </c>
      <c r="C77" s="47" t="s">
        <v>13</v>
      </c>
      <c r="D77" s="7">
        <v>588.70000000000005</v>
      </c>
      <c r="E77" s="7">
        <v>588.70000000000005</v>
      </c>
      <c r="F77" s="7">
        <v>588.70000000000005</v>
      </c>
      <c r="G77" s="7">
        <v>588.66999999999996</v>
      </c>
      <c r="H77" s="8" t="s">
        <v>172</v>
      </c>
      <c r="I77" s="9">
        <f>ROUND(G77/E77,4)</f>
        <v>0.99990000000000001</v>
      </c>
    </row>
    <row r="78" spans="1:11" ht="114.75" customHeight="1" x14ac:dyDescent="0.25">
      <c r="A78" s="52"/>
      <c r="B78" s="166" t="s">
        <v>166</v>
      </c>
      <c r="C78" s="47" t="s">
        <v>13</v>
      </c>
      <c r="D78" s="7">
        <v>3196.2</v>
      </c>
      <c r="E78" s="7">
        <v>3196.2</v>
      </c>
      <c r="F78" s="7">
        <v>2776</v>
      </c>
      <c r="G78" s="7">
        <v>2776</v>
      </c>
      <c r="H78" s="8" t="s">
        <v>172</v>
      </c>
      <c r="I78" s="9">
        <f t="shared" ref="I78:I87" si="8">ROUND(G78/E78,4)</f>
        <v>0.86850000000000005</v>
      </c>
      <c r="K78" s="81"/>
    </row>
    <row r="79" spans="1:11" ht="110.25" x14ac:dyDescent="0.25">
      <c r="A79" s="52"/>
      <c r="B79" s="166" t="s">
        <v>167</v>
      </c>
      <c r="C79" s="47" t="s">
        <v>13</v>
      </c>
      <c r="D79" s="7">
        <v>2305</v>
      </c>
      <c r="E79" s="7">
        <v>2305</v>
      </c>
      <c r="F79" s="7">
        <v>2028.5</v>
      </c>
      <c r="G79" s="7">
        <v>2028.5</v>
      </c>
      <c r="H79" s="8" t="s">
        <v>172</v>
      </c>
      <c r="I79" s="9">
        <f t="shared" si="8"/>
        <v>0.88</v>
      </c>
    </row>
    <row r="80" spans="1:11" ht="78.75" x14ac:dyDescent="0.25">
      <c r="A80" s="100"/>
      <c r="B80" s="166" t="s">
        <v>260</v>
      </c>
      <c r="C80" s="102" t="s">
        <v>15</v>
      </c>
      <c r="D80" s="7">
        <v>20531.900000000001</v>
      </c>
      <c r="E80" s="7">
        <v>20531.900000000001</v>
      </c>
      <c r="F80" s="7">
        <v>20531.900000000001</v>
      </c>
      <c r="G80" s="7">
        <v>20531.900000000001</v>
      </c>
      <c r="H80" s="8" t="s">
        <v>172</v>
      </c>
      <c r="I80" s="9">
        <f t="shared" si="8"/>
        <v>1</v>
      </c>
    </row>
    <row r="81" spans="1:10" ht="85.5" customHeight="1" x14ac:dyDescent="0.25">
      <c r="A81" s="100"/>
      <c r="B81" s="166" t="s">
        <v>253</v>
      </c>
      <c r="C81" s="102" t="s">
        <v>15</v>
      </c>
      <c r="D81" s="7">
        <v>5882.2</v>
      </c>
      <c r="E81" s="7">
        <v>5882.2</v>
      </c>
      <c r="F81" s="7">
        <v>5882.2</v>
      </c>
      <c r="G81" s="7">
        <v>5882.2</v>
      </c>
      <c r="H81" s="8" t="s">
        <v>172</v>
      </c>
      <c r="I81" s="9">
        <f t="shared" si="8"/>
        <v>1</v>
      </c>
    </row>
    <row r="82" spans="1:10" ht="281.25" customHeight="1" x14ac:dyDescent="0.25">
      <c r="A82" s="100"/>
      <c r="B82" s="166" t="s">
        <v>256</v>
      </c>
      <c r="C82" s="102" t="s">
        <v>15</v>
      </c>
      <c r="D82" s="7">
        <v>179.7</v>
      </c>
      <c r="E82" s="7">
        <v>179.7</v>
      </c>
      <c r="F82" s="7">
        <v>179.7</v>
      </c>
      <c r="G82" s="7">
        <v>179.7</v>
      </c>
      <c r="H82" s="8" t="s">
        <v>172</v>
      </c>
      <c r="I82" s="9">
        <f t="shared" si="8"/>
        <v>1</v>
      </c>
    </row>
    <row r="83" spans="1:10" ht="131.25" customHeight="1" x14ac:dyDescent="0.25">
      <c r="A83" s="100"/>
      <c r="B83" s="166" t="s">
        <v>261</v>
      </c>
      <c r="C83" s="102" t="s">
        <v>15</v>
      </c>
      <c r="D83" s="7">
        <v>207.4</v>
      </c>
      <c r="E83" s="7">
        <v>207.4</v>
      </c>
      <c r="F83" s="7">
        <v>207.4</v>
      </c>
      <c r="G83" s="7">
        <v>207.4</v>
      </c>
      <c r="H83" s="8" t="s">
        <v>172</v>
      </c>
      <c r="I83" s="9">
        <f t="shared" si="8"/>
        <v>1</v>
      </c>
    </row>
    <row r="84" spans="1:10" ht="131.25" customHeight="1" x14ac:dyDescent="0.25">
      <c r="A84" s="100"/>
      <c r="B84" s="166" t="s">
        <v>262</v>
      </c>
      <c r="C84" s="102" t="s">
        <v>13</v>
      </c>
      <c r="D84" s="7">
        <v>5</v>
      </c>
      <c r="E84" s="7">
        <v>5</v>
      </c>
      <c r="F84" s="7">
        <v>0.7</v>
      </c>
      <c r="G84" s="7">
        <v>0.7</v>
      </c>
      <c r="H84" s="8" t="s">
        <v>172</v>
      </c>
      <c r="I84" s="9">
        <f t="shared" si="8"/>
        <v>0.14000000000000001</v>
      </c>
    </row>
    <row r="85" spans="1:10" x14ac:dyDescent="0.25">
      <c r="A85" s="124"/>
      <c r="B85" s="125" t="s">
        <v>17</v>
      </c>
      <c r="C85" s="46" t="s">
        <v>16</v>
      </c>
      <c r="D85" s="10">
        <f>D86+D87</f>
        <v>322950.71999999997</v>
      </c>
      <c r="E85" s="10">
        <f>E86+E87</f>
        <v>322950.71999999997</v>
      </c>
      <c r="F85" s="10">
        <f>F86+F87</f>
        <v>313802.21999999997</v>
      </c>
      <c r="G85" s="10">
        <f>G86+G87</f>
        <v>313802.19</v>
      </c>
      <c r="H85" s="8" t="s">
        <v>172</v>
      </c>
      <c r="I85" s="9">
        <f t="shared" si="8"/>
        <v>0.97170000000000001</v>
      </c>
    </row>
    <row r="86" spans="1:10" ht="31.5" x14ac:dyDescent="0.25">
      <c r="A86" s="124"/>
      <c r="B86" s="126"/>
      <c r="C86" s="47" t="s">
        <v>13</v>
      </c>
      <c r="D86" s="7">
        <f>D84+D79+D78+D77+D75+D74+D73-0.1</f>
        <v>238226.09999999998</v>
      </c>
      <c r="E86" s="7">
        <f t="shared" ref="E86:G86" si="9">E84+E79+E78+E77+E75+E74+E73-0.1</f>
        <v>238226.09999999998</v>
      </c>
      <c r="F86" s="7">
        <f t="shared" si="9"/>
        <v>229077.6</v>
      </c>
      <c r="G86" s="7">
        <f t="shared" si="9"/>
        <v>229077.57</v>
      </c>
      <c r="H86" s="8" t="s">
        <v>172</v>
      </c>
      <c r="I86" s="9">
        <f t="shared" si="8"/>
        <v>0.96160000000000001</v>
      </c>
    </row>
    <row r="87" spans="1:10" ht="47.25" x14ac:dyDescent="0.25">
      <c r="A87" s="124"/>
      <c r="B87" s="126"/>
      <c r="C87" s="47" t="s">
        <v>15</v>
      </c>
      <c r="D87" s="7">
        <f>D83+D82+D81+D80+D76</f>
        <v>84724.62</v>
      </c>
      <c r="E87" s="7">
        <f t="shared" ref="E87:G87" si="10">E83+E82+E81+E80+E76</f>
        <v>84724.62</v>
      </c>
      <c r="F87" s="7">
        <f t="shared" si="10"/>
        <v>84724.62</v>
      </c>
      <c r="G87" s="7">
        <f t="shared" si="10"/>
        <v>84724.62</v>
      </c>
      <c r="H87" s="8" t="s">
        <v>172</v>
      </c>
      <c r="I87" s="9">
        <f t="shared" si="8"/>
        <v>1</v>
      </c>
    </row>
    <row r="88" spans="1:10" s="5" customFormat="1" ht="15.75" customHeight="1" x14ac:dyDescent="0.25">
      <c r="A88" s="133" t="s">
        <v>196</v>
      </c>
      <c r="B88" s="134"/>
      <c r="C88" s="134"/>
      <c r="D88" s="134"/>
      <c r="E88" s="134"/>
      <c r="F88" s="134"/>
      <c r="G88" s="134"/>
      <c r="H88" s="134"/>
      <c r="I88" s="135"/>
    </row>
    <row r="89" spans="1:10" ht="78.75" x14ac:dyDescent="0.25">
      <c r="A89" s="52"/>
      <c r="B89" s="47" t="s">
        <v>26</v>
      </c>
      <c r="C89" s="47" t="s">
        <v>13</v>
      </c>
      <c r="D89" s="7">
        <v>13040.4</v>
      </c>
      <c r="E89" s="7">
        <v>13040.4</v>
      </c>
      <c r="F89" s="7">
        <v>12893.1</v>
      </c>
      <c r="G89" s="7">
        <v>12893.1</v>
      </c>
      <c r="H89" s="8" t="s">
        <v>172</v>
      </c>
      <c r="I89" s="9">
        <f t="shared" ref="I89:I98" si="11">ROUND(G89/E89,4)</f>
        <v>0.98870000000000002</v>
      </c>
    </row>
    <row r="90" spans="1:10" ht="78.75" x14ac:dyDescent="0.25">
      <c r="A90" s="52"/>
      <c r="B90" s="47" t="s">
        <v>25</v>
      </c>
      <c r="C90" s="47" t="s">
        <v>13</v>
      </c>
      <c r="D90" s="7">
        <v>0</v>
      </c>
      <c r="E90" s="7">
        <v>0</v>
      </c>
      <c r="F90" s="7">
        <v>0</v>
      </c>
      <c r="G90" s="7">
        <v>0</v>
      </c>
      <c r="H90" s="8" t="s">
        <v>172</v>
      </c>
      <c r="I90" s="9">
        <v>0</v>
      </c>
    </row>
    <row r="91" spans="1:10" ht="78.75" x14ac:dyDescent="0.25">
      <c r="A91" s="100"/>
      <c r="B91" s="166" t="s">
        <v>253</v>
      </c>
      <c r="C91" s="102" t="s">
        <v>15</v>
      </c>
      <c r="D91" s="7">
        <v>17071.400000000001</v>
      </c>
      <c r="E91" s="7">
        <v>17071.400000000001</v>
      </c>
      <c r="F91" s="7">
        <v>17071.400000000001</v>
      </c>
      <c r="G91" s="7">
        <v>17071.400000000001</v>
      </c>
      <c r="H91" s="8" t="s">
        <v>172</v>
      </c>
      <c r="I91" s="9">
        <f t="shared" si="11"/>
        <v>1</v>
      </c>
    </row>
    <row r="92" spans="1:10" x14ac:dyDescent="0.25">
      <c r="A92" s="144"/>
      <c r="B92" s="106" t="s">
        <v>17</v>
      </c>
      <c r="C92" s="46" t="s">
        <v>16</v>
      </c>
      <c r="D92" s="10">
        <f>D93+D94</f>
        <v>30111.800000000003</v>
      </c>
      <c r="E92" s="10">
        <f>E93+E94</f>
        <v>30111.800000000003</v>
      </c>
      <c r="F92" s="10">
        <f>F93+F94</f>
        <v>29964.5</v>
      </c>
      <c r="G92" s="10">
        <f>G93+G94</f>
        <v>29964.5</v>
      </c>
      <c r="H92" s="8" t="s">
        <v>172</v>
      </c>
      <c r="I92" s="9">
        <f t="shared" si="11"/>
        <v>0.99509999999999998</v>
      </c>
    </row>
    <row r="93" spans="1:10" ht="31.5" x14ac:dyDescent="0.25">
      <c r="A93" s="146"/>
      <c r="B93" s="110"/>
      <c r="C93" s="47" t="s">
        <v>13</v>
      </c>
      <c r="D93" s="7">
        <f>D89+D90</f>
        <v>13040.4</v>
      </c>
      <c r="E93" s="7">
        <f>E89+E90</f>
        <v>13040.4</v>
      </c>
      <c r="F93" s="7">
        <f>F89+F90</f>
        <v>12893.1</v>
      </c>
      <c r="G93" s="7">
        <f>G89+G90</f>
        <v>12893.1</v>
      </c>
      <c r="H93" s="8" t="s">
        <v>172</v>
      </c>
      <c r="I93" s="9">
        <f t="shared" si="11"/>
        <v>0.98870000000000002</v>
      </c>
    </row>
    <row r="94" spans="1:10" ht="47.25" x14ac:dyDescent="0.25">
      <c r="A94" s="159"/>
      <c r="B94" s="107"/>
      <c r="C94" s="102" t="s">
        <v>15</v>
      </c>
      <c r="D94" s="7">
        <f>D91</f>
        <v>17071.400000000001</v>
      </c>
      <c r="E94" s="7">
        <f>E91</f>
        <v>17071.400000000001</v>
      </c>
      <c r="F94" s="7">
        <f>F91</f>
        <v>17071.400000000001</v>
      </c>
      <c r="G94" s="7">
        <f>G91</f>
        <v>17071.400000000001</v>
      </c>
      <c r="H94" s="8" t="s">
        <v>172</v>
      </c>
      <c r="I94" s="9">
        <f t="shared" si="11"/>
        <v>1</v>
      </c>
    </row>
    <row r="95" spans="1:10" x14ac:dyDescent="0.25">
      <c r="A95" s="144"/>
      <c r="B95" s="106" t="s">
        <v>14</v>
      </c>
      <c r="C95" s="46" t="s">
        <v>16</v>
      </c>
      <c r="D95" s="10">
        <f>D96+D97+D98</f>
        <v>2952811.6100000003</v>
      </c>
      <c r="E95" s="10">
        <f>E96+E97+E98</f>
        <v>2952639.0100000002</v>
      </c>
      <c r="F95" s="10">
        <f>F96+F97+F98</f>
        <v>2845529.72</v>
      </c>
      <c r="G95" s="10">
        <f>G96+G97+G98</f>
        <v>2845331.69</v>
      </c>
      <c r="H95" s="8" t="s">
        <v>172</v>
      </c>
      <c r="I95" s="9">
        <f t="shared" si="11"/>
        <v>0.9637</v>
      </c>
      <c r="J95" s="81"/>
    </row>
    <row r="96" spans="1:10" ht="31.5" x14ac:dyDescent="0.25">
      <c r="A96" s="146"/>
      <c r="B96" s="121"/>
      <c r="C96" s="47" t="s">
        <v>13</v>
      </c>
      <c r="D96" s="7">
        <f>D26+D32+D44+D69+D86+D93+0.1</f>
        <v>1169321.94</v>
      </c>
      <c r="E96" s="7">
        <f>E26+E32+E44+E69+E86+E93+0.1</f>
        <v>1169149.3399999999</v>
      </c>
      <c r="F96" s="7">
        <f>F26+F32+F44+F69+F86+F93</f>
        <v>1111971.9000000001</v>
      </c>
      <c r="G96" s="7">
        <f>G26+G32+G44+G69+G86+G93-0.1</f>
        <v>1111808.77</v>
      </c>
      <c r="H96" s="8" t="s">
        <v>172</v>
      </c>
      <c r="I96" s="9">
        <f t="shared" si="11"/>
        <v>0.95099999999999996</v>
      </c>
    </row>
    <row r="97" spans="1:9" ht="47.25" x14ac:dyDescent="0.25">
      <c r="A97" s="146"/>
      <c r="B97" s="121"/>
      <c r="C97" s="47" t="s">
        <v>15</v>
      </c>
      <c r="D97" s="7">
        <f>D25+D33+D45+D71+D87+D94</f>
        <v>1567374.0700000003</v>
      </c>
      <c r="E97" s="7">
        <f t="shared" ref="E97:G97" si="12">E25+E33+E45+E71+E87+E94</f>
        <v>1567374.0700000003</v>
      </c>
      <c r="F97" s="7">
        <f t="shared" si="12"/>
        <v>1517442.2199999997</v>
      </c>
      <c r="G97" s="7">
        <f t="shared" si="12"/>
        <v>1517407.2199999997</v>
      </c>
      <c r="H97" s="8" t="s">
        <v>172</v>
      </c>
      <c r="I97" s="9">
        <f t="shared" si="11"/>
        <v>0.96809999999999996</v>
      </c>
    </row>
    <row r="98" spans="1:9" ht="31.5" x14ac:dyDescent="0.25">
      <c r="A98" s="145"/>
      <c r="B98" s="145"/>
      <c r="C98" s="47" t="s">
        <v>101</v>
      </c>
      <c r="D98" s="7">
        <f>D24+D70</f>
        <v>216115.60000000003</v>
      </c>
      <c r="E98" s="7">
        <f>E24+E70</f>
        <v>216115.60000000003</v>
      </c>
      <c r="F98" s="7">
        <f>F24+F70</f>
        <v>216115.60000000003</v>
      </c>
      <c r="G98" s="7">
        <f>G24+G70</f>
        <v>216115.7</v>
      </c>
      <c r="H98" s="8" t="s">
        <v>172</v>
      </c>
      <c r="I98" s="9">
        <f t="shared" si="11"/>
        <v>1</v>
      </c>
    </row>
    <row r="99" spans="1:9" s="5" customFormat="1" ht="15.75" customHeight="1" x14ac:dyDescent="0.25">
      <c r="A99" s="46">
        <v>2</v>
      </c>
      <c r="B99" s="130" t="s">
        <v>126</v>
      </c>
      <c r="C99" s="131"/>
      <c r="D99" s="131"/>
      <c r="E99" s="131"/>
      <c r="F99" s="131"/>
      <c r="G99" s="131"/>
      <c r="H99" s="131"/>
      <c r="I99" s="132"/>
    </row>
    <row r="100" spans="1:9" ht="31.5" customHeight="1" x14ac:dyDescent="0.25">
      <c r="A100" s="6"/>
      <c r="B100" s="166" t="s">
        <v>55</v>
      </c>
      <c r="C100" s="47" t="s">
        <v>13</v>
      </c>
      <c r="D100" s="7">
        <v>18</v>
      </c>
      <c r="E100" s="7">
        <v>18</v>
      </c>
      <c r="F100" s="7">
        <v>18</v>
      </c>
      <c r="G100" s="7">
        <v>18</v>
      </c>
      <c r="H100" s="8" t="s">
        <v>172</v>
      </c>
      <c r="I100" s="9">
        <f t="shared" ref="I100:I105" si="13">ROUND(G100/E100,4)</f>
        <v>1</v>
      </c>
    </row>
    <row r="101" spans="1:9" ht="94.5" x14ac:dyDescent="0.25">
      <c r="A101" s="6"/>
      <c r="B101" s="166" t="s">
        <v>226</v>
      </c>
      <c r="C101" s="47" t="s">
        <v>15</v>
      </c>
      <c r="D101" s="7">
        <v>13479.1</v>
      </c>
      <c r="E101" s="7">
        <v>13479</v>
      </c>
      <c r="F101" s="7">
        <v>13470</v>
      </c>
      <c r="G101" s="7">
        <v>13470</v>
      </c>
      <c r="H101" s="8" t="s">
        <v>172</v>
      </c>
      <c r="I101" s="9">
        <f t="shared" si="13"/>
        <v>0.99929999999999997</v>
      </c>
    </row>
    <row r="102" spans="1:9" ht="276" customHeight="1" x14ac:dyDescent="0.25">
      <c r="A102" s="6"/>
      <c r="B102" s="166" t="s">
        <v>224</v>
      </c>
      <c r="C102" s="47" t="s">
        <v>15</v>
      </c>
      <c r="D102" s="7">
        <v>3645.3</v>
      </c>
      <c r="E102" s="7">
        <v>3645.3</v>
      </c>
      <c r="F102" s="7">
        <v>3096.6</v>
      </c>
      <c r="G102" s="7">
        <v>3096.2</v>
      </c>
      <c r="H102" s="8" t="s">
        <v>172</v>
      </c>
      <c r="I102" s="9">
        <f t="shared" si="13"/>
        <v>0.84940000000000004</v>
      </c>
    </row>
    <row r="103" spans="1:9" ht="78.75" x14ac:dyDescent="0.25">
      <c r="A103" s="6"/>
      <c r="B103" s="166" t="s">
        <v>225</v>
      </c>
      <c r="C103" s="47" t="s">
        <v>101</v>
      </c>
      <c r="D103" s="7">
        <v>15187.6</v>
      </c>
      <c r="E103" s="7">
        <v>15187.6</v>
      </c>
      <c r="F103" s="7">
        <v>15187.6</v>
      </c>
      <c r="G103" s="7">
        <v>15187.6</v>
      </c>
      <c r="H103" s="8" t="s">
        <v>172</v>
      </c>
      <c r="I103" s="9">
        <f t="shared" si="13"/>
        <v>1</v>
      </c>
    </row>
    <row r="104" spans="1:9" ht="63" x14ac:dyDescent="0.25">
      <c r="A104" s="6"/>
      <c r="B104" s="166" t="s">
        <v>65</v>
      </c>
      <c r="C104" s="47" t="s">
        <v>15</v>
      </c>
      <c r="D104" s="7">
        <v>73537.600000000006</v>
      </c>
      <c r="E104" s="7">
        <v>27396.7</v>
      </c>
      <c r="F104" s="7">
        <v>68264</v>
      </c>
      <c r="G104" s="7">
        <v>68168.800000000003</v>
      </c>
      <c r="H104" s="8" t="s">
        <v>172</v>
      </c>
      <c r="I104" s="9">
        <f>ROUND(G104/D104,4)</f>
        <v>0.92700000000000005</v>
      </c>
    </row>
    <row r="105" spans="1:9" ht="110.25" x14ac:dyDescent="0.25">
      <c r="A105" s="6"/>
      <c r="B105" s="166" t="s">
        <v>205</v>
      </c>
      <c r="C105" s="47" t="s">
        <v>15</v>
      </c>
      <c r="D105" s="7">
        <v>2073.9</v>
      </c>
      <c r="E105" s="7">
        <v>2073.9</v>
      </c>
      <c r="F105" s="7">
        <v>1923</v>
      </c>
      <c r="G105" s="7">
        <v>1876.7</v>
      </c>
      <c r="H105" s="8" t="s">
        <v>172</v>
      </c>
      <c r="I105" s="9">
        <f t="shared" si="13"/>
        <v>0.90490000000000004</v>
      </c>
    </row>
    <row r="106" spans="1:9" ht="15.75" customHeight="1" x14ac:dyDescent="0.25">
      <c r="A106" s="124"/>
      <c r="B106" s="125" t="s">
        <v>14</v>
      </c>
      <c r="C106" s="46" t="s">
        <v>16</v>
      </c>
      <c r="D106" s="10">
        <f>D108+D109+D107</f>
        <v>107941.50000000001</v>
      </c>
      <c r="E106" s="10">
        <f>E108+E109+E107</f>
        <v>61800.6</v>
      </c>
      <c r="F106" s="10">
        <f>F108+F109+F107</f>
        <v>101959.20000000001</v>
      </c>
      <c r="G106" s="10">
        <f>G108+G109+G107</f>
        <v>101817.3</v>
      </c>
      <c r="H106" s="8" t="s">
        <v>172</v>
      </c>
      <c r="I106" s="9">
        <f>G106/D106</f>
        <v>0.94326371228860062</v>
      </c>
    </row>
    <row r="107" spans="1:9" ht="31.5" customHeight="1" x14ac:dyDescent="0.25">
      <c r="A107" s="124"/>
      <c r="B107" s="125"/>
      <c r="C107" s="47" t="s">
        <v>101</v>
      </c>
      <c r="D107" s="7">
        <f>D103</f>
        <v>15187.6</v>
      </c>
      <c r="E107" s="7">
        <f>E103</f>
        <v>15187.6</v>
      </c>
      <c r="F107" s="7">
        <f>F103</f>
        <v>15187.6</v>
      </c>
      <c r="G107" s="7">
        <f>G103</f>
        <v>15187.6</v>
      </c>
      <c r="H107" s="8" t="s">
        <v>172</v>
      </c>
      <c r="I107" s="9">
        <f>ROUND(G107/E107,4)</f>
        <v>1</v>
      </c>
    </row>
    <row r="108" spans="1:9" ht="31.5" customHeight="1" x14ac:dyDescent="0.25">
      <c r="A108" s="124"/>
      <c r="B108" s="126"/>
      <c r="C108" s="47" t="s">
        <v>13</v>
      </c>
      <c r="D108" s="7">
        <f>D100</f>
        <v>18</v>
      </c>
      <c r="E108" s="7">
        <f>E100</f>
        <v>18</v>
      </c>
      <c r="F108" s="7">
        <f>F100</f>
        <v>18</v>
      </c>
      <c r="G108" s="7">
        <f>G100</f>
        <v>18</v>
      </c>
      <c r="H108" s="8" t="s">
        <v>172</v>
      </c>
      <c r="I108" s="9">
        <f>ROUND(G108/E108,4)</f>
        <v>1</v>
      </c>
    </row>
    <row r="109" spans="1:9" ht="47.25" x14ac:dyDescent="0.25">
      <c r="A109" s="124"/>
      <c r="B109" s="126"/>
      <c r="C109" s="47" t="s">
        <v>15</v>
      </c>
      <c r="D109" s="7">
        <f>D101+D104+D105+D102</f>
        <v>92735.900000000009</v>
      </c>
      <c r="E109" s="7">
        <f>E101+E104+E105+E102+0.1</f>
        <v>46595</v>
      </c>
      <c r="F109" s="7">
        <f>F101+F104+F105+F102</f>
        <v>86753.600000000006</v>
      </c>
      <c r="G109" s="7">
        <f>G101+G104+G105+G102</f>
        <v>86611.7</v>
      </c>
      <c r="H109" s="8" t="s">
        <v>172</v>
      </c>
      <c r="I109" s="9">
        <f>G109/D109</f>
        <v>0.93396085011306285</v>
      </c>
    </row>
    <row r="110" spans="1:9" x14ac:dyDescent="0.25">
      <c r="A110" s="46">
        <v>3</v>
      </c>
      <c r="B110" s="130" t="s">
        <v>127</v>
      </c>
      <c r="C110" s="131"/>
      <c r="D110" s="131"/>
      <c r="E110" s="131"/>
      <c r="F110" s="131"/>
      <c r="G110" s="131"/>
      <c r="H110" s="131"/>
      <c r="I110" s="132"/>
    </row>
    <row r="111" spans="1:9" ht="63" x14ac:dyDescent="0.25">
      <c r="A111" s="46"/>
      <c r="B111" s="166" t="s">
        <v>92</v>
      </c>
      <c r="C111" s="47" t="s">
        <v>13</v>
      </c>
      <c r="D111" s="7">
        <v>306</v>
      </c>
      <c r="E111" s="7">
        <v>306</v>
      </c>
      <c r="F111" s="7">
        <v>305.89999999999998</v>
      </c>
      <c r="G111" s="7">
        <v>305.89999999999998</v>
      </c>
      <c r="H111" s="8" t="s">
        <v>172</v>
      </c>
      <c r="I111" s="9">
        <f t="shared" ref="I111:I123" si="14">ROUND(G111/E111,4)</f>
        <v>0.99970000000000003</v>
      </c>
    </row>
    <row r="112" spans="1:9" ht="264.75" customHeight="1" x14ac:dyDescent="0.25">
      <c r="A112" s="1"/>
      <c r="B112" s="166" t="s">
        <v>200</v>
      </c>
      <c r="C112" s="47" t="s">
        <v>15</v>
      </c>
      <c r="D112" s="7">
        <v>36217.599999999999</v>
      </c>
      <c r="E112" s="7">
        <v>36217.599999999999</v>
      </c>
      <c r="F112" s="7">
        <v>35548.300000000003</v>
      </c>
      <c r="G112" s="7">
        <v>35548.300000000003</v>
      </c>
      <c r="H112" s="8" t="s">
        <v>172</v>
      </c>
      <c r="I112" s="9">
        <f t="shared" si="14"/>
        <v>0.98150000000000004</v>
      </c>
    </row>
    <row r="113" spans="1:9" ht="94.5" x14ac:dyDescent="0.25">
      <c r="A113" s="1"/>
      <c r="B113" s="166" t="s">
        <v>201</v>
      </c>
      <c r="C113" s="47" t="s">
        <v>15</v>
      </c>
      <c r="D113" s="7">
        <v>3123.5</v>
      </c>
      <c r="E113" s="7">
        <v>3123.5</v>
      </c>
      <c r="F113" s="7">
        <v>2747.7</v>
      </c>
      <c r="G113" s="7">
        <v>2747.7</v>
      </c>
      <c r="H113" s="8" t="s">
        <v>172</v>
      </c>
      <c r="I113" s="9">
        <f t="shared" si="14"/>
        <v>0.87970000000000004</v>
      </c>
    </row>
    <row r="114" spans="1:9" ht="162.75" customHeight="1" x14ac:dyDescent="0.25">
      <c r="A114" s="1"/>
      <c r="B114" s="166" t="s">
        <v>198</v>
      </c>
      <c r="C114" s="47" t="s">
        <v>15</v>
      </c>
      <c r="D114" s="7">
        <v>163.30000000000001</v>
      </c>
      <c r="E114" s="7">
        <v>163.30000000000001</v>
      </c>
      <c r="F114" s="7">
        <v>131.69999999999999</v>
      </c>
      <c r="G114" s="7">
        <v>131.69999999999999</v>
      </c>
      <c r="H114" s="8" t="s">
        <v>172</v>
      </c>
      <c r="I114" s="9">
        <f t="shared" si="14"/>
        <v>0.80649999999999999</v>
      </c>
    </row>
    <row r="115" spans="1:9" ht="94.5" x14ac:dyDescent="0.25">
      <c r="A115" s="1"/>
      <c r="B115" s="166" t="s">
        <v>79</v>
      </c>
      <c r="C115" s="47" t="s">
        <v>15</v>
      </c>
      <c r="D115" s="7">
        <v>16326.8</v>
      </c>
      <c r="E115" s="7">
        <v>16326.8</v>
      </c>
      <c r="F115" s="7">
        <v>14434.7</v>
      </c>
      <c r="G115" s="7">
        <v>14434.7</v>
      </c>
      <c r="H115" s="8" t="s">
        <v>172</v>
      </c>
      <c r="I115" s="9">
        <f t="shared" si="14"/>
        <v>0.8841</v>
      </c>
    </row>
    <row r="116" spans="1:9" ht="78.75" x14ac:dyDescent="0.25">
      <c r="A116" s="1"/>
      <c r="B116" s="166" t="s">
        <v>27</v>
      </c>
      <c r="C116" s="47" t="s">
        <v>13</v>
      </c>
      <c r="D116" s="7">
        <v>6011</v>
      </c>
      <c r="E116" s="7">
        <v>6011</v>
      </c>
      <c r="F116" s="7">
        <v>6011</v>
      </c>
      <c r="G116" s="7">
        <v>6000.2</v>
      </c>
      <c r="H116" s="8" t="s">
        <v>172</v>
      </c>
      <c r="I116" s="9">
        <f t="shared" si="14"/>
        <v>0.99819999999999998</v>
      </c>
    </row>
    <row r="117" spans="1:9" ht="63" x14ac:dyDescent="0.25">
      <c r="A117" s="1"/>
      <c r="B117" s="166" t="s">
        <v>94</v>
      </c>
      <c r="C117" s="47" t="s">
        <v>13</v>
      </c>
      <c r="D117" s="7">
        <v>48</v>
      </c>
      <c r="E117" s="7">
        <v>48</v>
      </c>
      <c r="F117" s="7">
        <v>32</v>
      </c>
      <c r="G117" s="7">
        <v>32</v>
      </c>
      <c r="H117" s="8" t="s">
        <v>172</v>
      </c>
      <c r="I117" s="9">
        <f t="shared" si="14"/>
        <v>0.66669999999999996</v>
      </c>
    </row>
    <row r="118" spans="1:9" ht="47.25" x14ac:dyDescent="0.25">
      <c r="A118" s="1"/>
      <c r="B118" s="166" t="s">
        <v>102</v>
      </c>
      <c r="C118" s="47" t="s">
        <v>15</v>
      </c>
      <c r="D118" s="7">
        <v>65.2</v>
      </c>
      <c r="E118" s="7">
        <v>65.2</v>
      </c>
      <c r="F118" s="7">
        <v>57.8</v>
      </c>
      <c r="G118" s="7">
        <v>57.8</v>
      </c>
      <c r="H118" s="8" t="s">
        <v>172</v>
      </c>
      <c r="I118" s="9">
        <f t="shared" si="14"/>
        <v>0.88649999999999995</v>
      </c>
    </row>
    <row r="119" spans="1:9" ht="110.25" x14ac:dyDescent="0.25">
      <c r="A119" s="1"/>
      <c r="B119" s="166" t="s">
        <v>113</v>
      </c>
      <c r="C119" s="47" t="s">
        <v>15</v>
      </c>
      <c r="D119" s="7">
        <v>10005.6</v>
      </c>
      <c r="E119" s="7">
        <v>10005.6</v>
      </c>
      <c r="F119" s="7">
        <v>9270</v>
      </c>
      <c r="G119" s="7">
        <v>9015.6</v>
      </c>
      <c r="H119" s="8" t="s">
        <v>172</v>
      </c>
      <c r="I119" s="9">
        <f t="shared" si="14"/>
        <v>0.90110000000000001</v>
      </c>
    </row>
    <row r="120" spans="1:9" ht="47.25" x14ac:dyDescent="0.25">
      <c r="A120" s="1"/>
      <c r="B120" s="166" t="s">
        <v>227</v>
      </c>
      <c r="C120" s="47" t="s">
        <v>13</v>
      </c>
      <c r="D120" s="7">
        <v>30</v>
      </c>
      <c r="E120" s="7">
        <v>30</v>
      </c>
      <c r="F120" s="7">
        <v>30</v>
      </c>
      <c r="G120" s="7">
        <v>30</v>
      </c>
      <c r="H120" s="8" t="s">
        <v>172</v>
      </c>
      <c r="I120" s="9">
        <f t="shared" si="14"/>
        <v>1</v>
      </c>
    </row>
    <row r="121" spans="1:9" x14ac:dyDescent="0.25">
      <c r="A121" s="124"/>
      <c r="B121" s="125" t="s">
        <v>14</v>
      </c>
      <c r="C121" s="46" t="s">
        <v>16</v>
      </c>
      <c r="D121" s="10">
        <f>D122+D123</f>
        <v>72297</v>
      </c>
      <c r="E121" s="10">
        <f>E122+E123</f>
        <v>72297</v>
      </c>
      <c r="F121" s="10">
        <f>F122+F123</f>
        <v>68569.099999999991</v>
      </c>
      <c r="G121" s="10">
        <f>G122+G123</f>
        <v>68303.899999999994</v>
      </c>
      <c r="H121" s="11" t="s">
        <v>172</v>
      </c>
      <c r="I121" s="12">
        <f t="shared" si="14"/>
        <v>0.94479999999999997</v>
      </c>
    </row>
    <row r="122" spans="1:9" ht="31.5" x14ac:dyDescent="0.25">
      <c r="A122" s="124"/>
      <c r="B122" s="126"/>
      <c r="C122" s="47" t="s">
        <v>13</v>
      </c>
      <c r="D122" s="7">
        <f>D111+D116+D117+D120</f>
        <v>6395</v>
      </c>
      <c r="E122" s="7">
        <f t="shared" ref="E122:G122" si="15">E111+E116+E117+E120</f>
        <v>6395</v>
      </c>
      <c r="F122" s="7">
        <f t="shared" si="15"/>
        <v>6378.9</v>
      </c>
      <c r="G122" s="7">
        <f t="shared" si="15"/>
        <v>6368.0999999999995</v>
      </c>
      <c r="H122" s="8" t="s">
        <v>172</v>
      </c>
      <c r="I122" s="9">
        <f t="shared" si="14"/>
        <v>0.99580000000000002</v>
      </c>
    </row>
    <row r="123" spans="1:9" ht="47.25" x14ac:dyDescent="0.25">
      <c r="A123" s="124"/>
      <c r="B123" s="126"/>
      <c r="C123" s="47" t="s">
        <v>15</v>
      </c>
      <c r="D123" s="7">
        <f>D112+D113+D114+D115+D118+D119</f>
        <v>65902</v>
      </c>
      <c r="E123" s="7">
        <f t="shared" ref="E123:G123" si="16">E112+E113+E114+E115+E118+E119</f>
        <v>65902</v>
      </c>
      <c r="F123" s="7">
        <f t="shared" si="16"/>
        <v>62190.2</v>
      </c>
      <c r="G123" s="7">
        <f t="shared" si="16"/>
        <v>61935.799999999996</v>
      </c>
      <c r="H123" s="8" t="s">
        <v>172</v>
      </c>
      <c r="I123" s="9">
        <f t="shared" si="14"/>
        <v>0.93979999999999997</v>
      </c>
    </row>
    <row r="124" spans="1:9" x14ac:dyDescent="0.25">
      <c r="A124" s="46">
        <v>4</v>
      </c>
      <c r="B124" s="130" t="s">
        <v>152</v>
      </c>
      <c r="C124" s="131"/>
      <c r="D124" s="131"/>
      <c r="E124" s="131"/>
      <c r="F124" s="131"/>
      <c r="G124" s="131"/>
      <c r="H124" s="131"/>
      <c r="I124" s="132"/>
    </row>
    <row r="125" spans="1:9" ht="31.5" x14ac:dyDescent="0.25">
      <c r="A125" s="1"/>
      <c r="B125" s="47" t="s">
        <v>24</v>
      </c>
      <c r="C125" s="47" t="s">
        <v>13</v>
      </c>
      <c r="D125" s="7">
        <f>404.5+1224.3+195</f>
        <v>1823.8</v>
      </c>
      <c r="E125" s="7">
        <f>263.8+1224.3+195</f>
        <v>1683.1</v>
      </c>
      <c r="F125" s="7">
        <f>208.1+1224.3+192.5</f>
        <v>1624.8999999999999</v>
      </c>
      <c r="G125" s="7">
        <f>208.1+1224.3+192.5</f>
        <v>1624.8999999999999</v>
      </c>
      <c r="H125" s="8" t="s">
        <v>172</v>
      </c>
      <c r="I125" s="9">
        <f>G125/D125</f>
        <v>0.89094198925320756</v>
      </c>
    </row>
    <row r="126" spans="1:9" ht="47.25" x14ac:dyDescent="0.25">
      <c r="A126" s="1"/>
      <c r="B126" s="47" t="s">
        <v>56</v>
      </c>
      <c r="C126" s="47" t="s">
        <v>13</v>
      </c>
      <c r="D126" s="7">
        <v>70</v>
      </c>
      <c r="E126" s="7">
        <v>35</v>
      </c>
      <c r="F126" s="7">
        <v>34</v>
      </c>
      <c r="G126" s="7">
        <v>33.5</v>
      </c>
      <c r="H126" s="8" t="s">
        <v>172</v>
      </c>
      <c r="I126" s="9">
        <f t="shared" ref="I126:I128" si="17">G126/D126</f>
        <v>0.47857142857142859</v>
      </c>
    </row>
    <row r="127" spans="1:9" x14ac:dyDescent="0.25">
      <c r="A127" s="144"/>
      <c r="B127" s="106" t="s">
        <v>14</v>
      </c>
      <c r="C127" s="46" t="s">
        <v>16</v>
      </c>
      <c r="D127" s="10">
        <f>D128</f>
        <v>1893.8</v>
      </c>
      <c r="E127" s="10">
        <f t="shared" ref="E127:G127" si="18">E128</f>
        <v>1718.1</v>
      </c>
      <c r="F127" s="10">
        <f t="shared" si="18"/>
        <v>1658.8</v>
      </c>
      <c r="G127" s="10">
        <f t="shared" si="18"/>
        <v>1658.3999999999999</v>
      </c>
      <c r="H127" s="8" t="s">
        <v>172</v>
      </c>
      <c r="I127" s="9">
        <f t="shared" si="17"/>
        <v>0.87569965149434992</v>
      </c>
    </row>
    <row r="128" spans="1:9" ht="31.5" x14ac:dyDescent="0.25">
      <c r="A128" s="145"/>
      <c r="B128" s="145"/>
      <c r="C128" s="47" t="s">
        <v>13</v>
      </c>
      <c r="D128" s="7">
        <f>D125+D126</f>
        <v>1893.8</v>
      </c>
      <c r="E128" s="7">
        <f>E125+E126</f>
        <v>1718.1</v>
      </c>
      <c r="F128" s="7">
        <f>F125+F126-0.1</f>
        <v>1658.8</v>
      </c>
      <c r="G128" s="7">
        <f t="shared" ref="G128" si="19">G125+G126</f>
        <v>1658.3999999999999</v>
      </c>
      <c r="H128" s="8" t="s">
        <v>172</v>
      </c>
      <c r="I128" s="9">
        <f t="shared" si="17"/>
        <v>0.87569965149434992</v>
      </c>
    </row>
    <row r="129" spans="1:9" x14ac:dyDescent="0.25">
      <c r="A129" s="46">
        <v>5</v>
      </c>
      <c r="B129" s="130" t="s">
        <v>128</v>
      </c>
      <c r="C129" s="131"/>
      <c r="D129" s="131"/>
      <c r="E129" s="131"/>
      <c r="F129" s="131"/>
      <c r="G129" s="131"/>
      <c r="H129" s="131"/>
      <c r="I129" s="132"/>
    </row>
    <row r="130" spans="1:9" x14ac:dyDescent="0.25">
      <c r="A130" s="133" t="s">
        <v>153</v>
      </c>
      <c r="B130" s="134"/>
      <c r="C130" s="134"/>
      <c r="D130" s="134"/>
      <c r="E130" s="134"/>
      <c r="F130" s="134"/>
      <c r="G130" s="134"/>
      <c r="H130" s="134"/>
      <c r="I130" s="135"/>
    </row>
    <row r="131" spans="1:9" ht="78.75" x14ac:dyDescent="0.25">
      <c r="A131" s="1"/>
      <c r="B131" s="166" t="s">
        <v>26</v>
      </c>
      <c r="C131" s="47" t="s">
        <v>13</v>
      </c>
      <c r="D131" s="7">
        <v>131825.5</v>
      </c>
      <c r="E131" s="7">
        <v>131796.9</v>
      </c>
      <c r="F131" s="7">
        <v>123486.7</v>
      </c>
      <c r="G131" s="7">
        <v>123486.7</v>
      </c>
      <c r="H131" s="8" t="s">
        <v>172</v>
      </c>
      <c r="I131" s="9">
        <f t="shared" ref="I131:I138" si="20">ROUND(G131/E131,4)</f>
        <v>0.93689999999999996</v>
      </c>
    </row>
    <row r="132" spans="1:9" ht="78.75" x14ac:dyDescent="0.25">
      <c r="A132" s="1"/>
      <c r="B132" s="166" t="s">
        <v>25</v>
      </c>
      <c r="C132" s="47" t="s">
        <v>13</v>
      </c>
      <c r="D132" s="7">
        <v>1585</v>
      </c>
      <c r="E132" s="7">
        <v>1585</v>
      </c>
      <c r="F132" s="7">
        <v>1200</v>
      </c>
      <c r="G132" s="7">
        <v>1200</v>
      </c>
      <c r="H132" s="8" t="s">
        <v>172</v>
      </c>
      <c r="I132" s="9">
        <f t="shared" si="20"/>
        <v>0.7571</v>
      </c>
    </row>
    <row r="133" spans="1:9" ht="78.75" x14ac:dyDescent="0.25">
      <c r="A133" s="1"/>
      <c r="B133" s="166" t="s">
        <v>63</v>
      </c>
      <c r="C133" s="47" t="s">
        <v>15</v>
      </c>
      <c r="D133" s="7">
        <v>4500</v>
      </c>
      <c r="E133" s="7">
        <v>4500</v>
      </c>
      <c r="F133" s="7">
        <v>4500</v>
      </c>
      <c r="G133" s="7">
        <v>4500</v>
      </c>
      <c r="H133" s="8" t="s">
        <v>172</v>
      </c>
      <c r="I133" s="9">
        <f t="shared" si="20"/>
        <v>1</v>
      </c>
    </row>
    <row r="134" spans="1:9" ht="78.75" x14ac:dyDescent="0.25">
      <c r="A134" s="1"/>
      <c r="B134" s="166" t="s">
        <v>66</v>
      </c>
      <c r="C134" s="47" t="s">
        <v>13</v>
      </c>
      <c r="D134" s="7">
        <v>1706.9</v>
      </c>
      <c r="E134" s="7">
        <v>1706.9</v>
      </c>
      <c r="F134" s="7">
        <v>1706.9</v>
      </c>
      <c r="G134" s="7">
        <v>1706.9</v>
      </c>
      <c r="H134" s="8" t="s">
        <v>172</v>
      </c>
      <c r="I134" s="9">
        <f t="shared" si="20"/>
        <v>1</v>
      </c>
    </row>
    <row r="135" spans="1:9" ht="78.75" x14ac:dyDescent="0.25">
      <c r="A135" s="103"/>
      <c r="B135" s="166" t="s">
        <v>253</v>
      </c>
      <c r="C135" s="102" t="s">
        <v>15</v>
      </c>
      <c r="D135" s="7">
        <v>3932</v>
      </c>
      <c r="E135" s="7">
        <v>3932</v>
      </c>
      <c r="F135" s="7">
        <v>3932</v>
      </c>
      <c r="G135" s="7">
        <v>3932</v>
      </c>
      <c r="H135" s="8" t="s">
        <v>172</v>
      </c>
      <c r="I135" s="9">
        <f t="shared" si="20"/>
        <v>1</v>
      </c>
    </row>
    <row r="136" spans="1:9" x14ac:dyDescent="0.25">
      <c r="A136" s="144"/>
      <c r="B136" s="106" t="s">
        <v>17</v>
      </c>
      <c r="C136" s="46" t="s">
        <v>16</v>
      </c>
      <c r="D136" s="10">
        <f>D137+D138</f>
        <v>143549.4</v>
      </c>
      <c r="E136" s="10">
        <f>E137+E138</f>
        <v>143520.9</v>
      </c>
      <c r="F136" s="10">
        <f>F137+F138</f>
        <v>134825.70000000001</v>
      </c>
      <c r="G136" s="10">
        <f>G137+G138</f>
        <v>134825.70000000001</v>
      </c>
      <c r="H136" s="8" t="s">
        <v>172</v>
      </c>
      <c r="I136" s="9">
        <f t="shared" si="20"/>
        <v>0.93940000000000001</v>
      </c>
    </row>
    <row r="137" spans="1:9" ht="31.5" x14ac:dyDescent="0.25">
      <c r="A137" s="146"/>
      <c r="B137" s="121"/>
      <c r="C137" s="47" t="s">
        <v>13</v>
      </c>
      <c r="D137" s="7">
        <f>D131+D132+D134</f>
        <v>135117.4</v>
      </c>
      <c r="E137" s="7">
        <f>E131+E132+E134+0.1</f>
        <v>135088.9</v>
      </c>
      <c r="F137" s="7">
        <f>F131+F132+F134+0.1</f>
        <v>126393.7</v>
      </c>
      <c r="G137" s="7">
        <f>G131+G132+G134+0.1</f>
        <v>126393.7</v>
      </c>
      <c r="H137" s="8" t="s">
        <v>172</v>
      </c>
      <c r="I137" s="9">
        <f t="shared" si="20"/>
        <v>0.93559999999999999</v>
      </c>
    </row>
    <row r="138" spans="1:9" ht="47.25" x14ac:dyDescent="0.25">
      <c r="A138" s="146"/>
      <c r="B138" s="121"/>
      <c r="C138" s="47" t="s">
        <v>15</v>
      </c>
      <c r="D138" s="7">
        <f>D133+D135</f>
        <v>8432</v>
      </c>
      <c r="E138" s="7">
        <f>E133+E135</f>
        <v>8432</v>
      </c>
      <c r="F138" s="7">
        <f>F133+F135</f>
        <v>8432</v>
      </c>
      <c r="G138" s="7">
        <f>G133+G135</f>
        <v>8432</v>
      </c>
      <c r="H138" s="8" t="s">
        <v>172</v>
      </c>
      <c r="I138" s="9">
        <f t="shared" si="20"/>
        <v>1</v>
      </c>
    </row>
    <row r="139" spans="1:9" ht="15.75" customHeight="1" x14ac:dyDescent="0.25">
      <c r="A139" s="133" t="s">
        <v>85</v>
      </c>
      <c r="B139" s="134"/>
      <c r="C139" s="134"/>
      <c r="D139" s="134"/>
      <c r="E139" s="134"/>
      <c r="F139" s="134"/>
      <c r="G139" s="134"/>
      <c r="H139" s="134"/>
      <c r="I139" s="135"/>
    </row>
    <row r="140" spans="1:9" ht="78.75" x14ac:dyDescent="0.25">
      <c r="A140" s="52"/>
      <c r="B140" s="47" t="s">
        <v>26</v>
      </c>
      <c r="C140" s="47" t="s">
        <v>13</v>
      </c>
      <c r="D140" s="7">
        <v>77552.100000000006</v>
      </c>
      <c r="E140" s="7">
        <v>77402.100000000006</v>
      </c>
      <c r="F140" s="7">
        <v>73977.100000000006</v>
      </c>
      <c r="G140" s="7">
        <v>73977.100000000006</v>
      </c>
      <c r="H140" s="8" t="s">
        <v>172</v>
      </c>
      <c r="I140" s="9">
        <f t="shared" ref="I140:I149" si="21">ROUND(G140/E140,4)</f>
        <v>0.95579999999999998</v>
      </c>
    </row>
    <row r="141" spans="1:9" ht="78.75" x14ac:dyDescent="0.25">
      <c r="A141" s="52"/>
      <c r="B141" s="47" t="s">
        <v>25</v>
      </c>
      <c r="C141" s="47" t="s">
        <v>13</v>
      </c>
      <c r="D141" s="7">
        <v>805</v>
      </c>
      <c r="E141" s="7">
        <v>805</v>
      </c>
      <c r="F141" s="7">
        <v>555</v>
      </c>
      <c r="G141" s="7">
        <v>555</v>
      </c>
      <c r="H141" s="8" t="s">
        <v>172</v>
      </c>
      <c r="I141" s="9">
        <f t="shared" si="21"/>
        <v>0.68940000000000001</v>
      </c>
    </row>
    <row r="142" spans="1:9" ht="47.25" x14ac:dyDescent="0.25">
      <c r="A142" s="52"/>
      <c r="B142" s="47" t="s">
        <v>228</v>
      </c>
      <c r="C142" s="47" t="s">
        <v>13</v>
      </c>
      <c r="D142" s="7">
        <v>1300</v>
      </c>
      <c r="E142" s="7">
        <v>1300</v>
      </c>
      <c r="F142" s="7">
        <v>850</v>
      </c>
      <c r="G142" s="7">
        <v>850</v>
      </c>
      <c r="H142" s="8" t="s">
        <v>172</v>
      </c>
      <c r="I142" s="9">
        <f t="shared" si="21"/>
        <v>0.65380000000000005</v>
      </c>
    </row>
    <row r="143" spans="1:9" ht="47.25" x14ac:dyDescent="0.25">
      <c r="A143" s="50"/>
      <c r="B143" s="48" t="s">
        <v>129</v>
      </c>
      <c r="C143" s="47" t="s">
        <v>13</v>
      </c>
      <c r="D143" s="7">
        <v>3507.5</v>
      </c>
      <c r="E143" s="7">
        <v>3507.5</v>
      </c>
      <c r="F143" s="7">
        <v>2953.3</v>
      </c>
      <c r="G143" s="7">
        <v>2953.3</v>
      </c>
      <c r="H143" s="8" t="s">
        <v>172</v>
      </c>
      <c r="I143" s="9">
        <f t="shared" si="21"/>
        <v>0.84199999999999997</v>
      </c>
    </row>
    <row r="144" spans="1:9" ht="78.75" x14ac:dyDescent="0.25">
      <c r="A144" s="50"/>
      <c r="B144" s="48" t="s">
        <v>26</v>
      </c>
      <c r="C144" s="47" t="s">
        <v>13</v>
      </c>
      <c r="D144" s="13">
        <v>68582.399999999994</v>
      </c>
      <c r="E144" s="13">
        <v>68582.399999999994</v>
      </c>
      <c r="F144" s="13">
        <v>64067</v>
      </c>
      <c r="G144" s="13">
        <v>64067</v>
      </c>
      <c r="H144" s="8" t="s">
        <v>172</v>
      </c>
      <c r="I144" s="9">
        <f t="shared" si="21"/>
        <v>0.93420000000000003</v>
      </c>
    </row>
    <row r="145" spans="1:9" ht="78.75" x14ac:dyDescent="0.25">
      <c r="A145" s="50"/>
      <c r="B145" s="48" t="s">
        <v>25</v>
      </c>
      <c r="C145" s="47" t="s">
        <v>13</v>
      </c>
      <c r="D145" s="13">
        <v>500</v>
      </c>
      <c r="E145" s="13">
        <v>500</v>
      </c>
      <c r="F145" s="14">
        <v>492.7</v>
      </c>
      <c r="G145" s="14">
        <v>492.7</v>
      </c>
      <c r="H145" s="8" t="s">
        <v>172</v>
      </c>
      <c r="I145" s="9">
        <f t="shared" si="21"/>
        <v>0.98540000000000005</v>
      </c>
    </row>
    <row r="146" spans="1:9" ht="78.75" x14ac:dyDescent="0.25">
      <c r="A146" s="101"/>
      <c r="B146" s="166" t="s">
        <v>253</v>
      </c>
      <c r="C146" s="102" t="s">
        <v>15</v>
      </c>
      <c r="D146" s="13">
        <f>2969.1+2083.2</f>
        <v>5052.2999999999993</v>
      </c>
      <c r="E146" s="13">
        <f>2969.1+2083.2</f>
        <v>5052.2999999999993</v>
      </c>
      <c r="F146" s="14">
        <f>2969.1+2083.2</f>
        <v>5052.2999999999993</v>
      </c>
      <c r="G146" s="14">
        <f>2969.1+2083.2</f>
        <v>5052.2999999999993</v>
      </c>
      <c r="H146" s="8" t="s">
        <v>172</v>
      </c>
      <c r="I146" s="9">
        <f t="shared" si="21"/>
        <v>1</v>
      </c>
    </row>
    <row r="147" spans="1:9" x14ac:dyDescent="0.25">
      <c r="A147" s="124"/>
      <c r="B147" s="136" t="s">
        <v>17</v>
      </c>
      <c r="C147" s="46" t="s">
        <v>16</v>
      </c>
      <c r="D147" s="10">
        <f>D148+D149</f>
        <v>157299.29999999999</v>
      </c>
      <c r="E147" s="10">
        <f t="shared" ref="E147:G147" si="22">E148+E149</f>
        <v>157149.29999999999</v>
      </c>
      <c r="F147" s="10">
        <f t="shared" si="22"/>
        <v>147947.50000000003</v>
      </c>
      <c r="G147" s="10">
        <f t="shared" si="22"/>
        <v>147947.50000000003</v>
      </c>
      <c r="H147" s="11" t="s">
        <v>172</v>
      </c>
      <c r="I147" s="12">
        <f t="shared" si="21"/>
        <v>0.94140000000000001</v>
      </c>
    </row>
    <row r="148" spans="1:9" ht="31.5" x14ac:dyDescent="0.25">
      <c r="A148" s="124"/>
      <c r="B148" s="173"/>
      <c r="C148" s="47" t="s">
        <v>13</v>
      </c>
      <c r="D148" s="7">
        <f>D140+D141+D142+D143+D144+D145</f>
        <v>152247</v>
      </c>
      <c r="E148" s="7">
        <f t="shared" ref="E148:G148" si="23">E140+E141+E142+E143+E144+E145</f>
        <v>152097</v>
      </c>
      <c r="F148" s="7">
        <f>F140+F141+F142+F143+F144+F145+0.1</f>
        <v>142895.20000000004</v>
      </c>
      <c r="G148" s="7">
        <f>G140+G141+G142+G143+G144+G145+0.1</f>
        <v>142895.20000000004</v>
      </c>
      <c r="H148" s="8" t="s">
        <v>172</v>
      </c>
      <c r="I148" s="9">
        <f t="shared" si="21"/>
        <v>0.9395</v>
      </c>
    </row>
    <row r="149" spans="1:9" ht="47.25" x14ac:dyDescent="0.25">
      <c r="A149" s="124"/>
      <c r="B149" s="137"/>
      <c r="C149" s="102" t="s">
        <v>15</v>
      </c>
      <c r="D149" s="7">
        <f>D146</f>
        <v>5052.2999999999993</v>
      </c>
      <c r="E149" s="7">
        <f>E146</f>
        <v>5052.2999999999993</v>
      </c>
      <c r="F149" s="7">
        <f>F146</f>
        <v>5052.2999999999993</v>
      </c>
      <c r="G149" s="7">
        <f>G146</f>
        <v>5052.2999999999993</v>
      </c>
      <c r="H149" s="8" t="s">
        <v>172</v>
      </c>
      <c r="I149" s="9">
        <f t="shared" si="21"/>
        <v>1</v>
      </c>
    </row>
    <row r="150" spans="1:9" ht="15.75" customHeight="1" x14ac:dyDescent="0.25">
      <c r="A150" s="133" t="s">
        <v>86</v>
      </c>
      <c r="B150" s="134"/>
      <c r="C150" s="134"/>
      <c r="D150" s="134"/>
      <c r="E150" s="134"/>
      <c r="F150" s="134"/>
      <c r="G150" s="134"/>
      <c r="H150" s="134"/>
      <c r="I150" s="135"/>
    </row>
    <row r="151" spans="1:9" ht="31.5" x14ac:dyDescent="0.25">
      <c r="A151" s="106"/>
      <c r="B151" s="108" t="s">
        <v>229</v>
      </c>
      <c r="C151" s="47" t="s">
        <v>101</v>
      </c>
      <c r="D151" s="13">
        <v>7824</v>
      </c>
      <c r="E151" s="13">
        <v>7824</v>
      </c>
      <c r="F151" s="13">
        <v>7824</v>
      </c>
      <c r="G151" s="13">
        <v>7824</v>
      </c>
      <c r="H151" s="8" t="s">
        <v>172</v>
      </c>
      <c r="I151" s="9">
        <f t="shared" ref="I151:I161" si="24">ROUND(G151/E151,4)</f>
        <v>1</v>
      </c>
    </row>
    <row r="152" spans="1:9" ht="29.25" customHeight="1" x14ac:dyDescent="0.25">
      <c r="A152" s="107"/>
      <c r="B152" s="109"/>
      <c r="C152" s="47" t="s">
        <v>13</v>
      </c>
      <c r="D152" s="13">
        <v>176</v>
      </c>
      <c r="E152" s="13">
        <v>176</v>
      </c>
      <c r="F152" s="13">
        <v>176</v>
      </c>
      <c r="G152" s="13">
        <v>176</v>
      </c>
      <c r="H152" s="8" t="s">
        <v>172</v>
      </c>
      <c r="I152" s="9">
        <f t="shared" si="24"/>
        <v>1</v>
      </c>
    </row>
    <row r="153" spans="1:9" ht="31.5" x14ac:dyDescent="0.25">
      <c r="A153" s="106"/>
      <c r="B153" s="168" t="s">
        <v>263</v>
      </c>
      <c r="C153" s="47" t="s">
        <v>101</v>
      </c>
      <c r="D153" s="13">
        <v>2258.1</v>
      </c>
      <c r="E153" s="13">
        <v>2258.1</v>
      </c>
      <c r="F153" s="13">
        <v>2258.1</v>
      </c>
      <c r="G153" s="13">
        <v>2258.1</v>
      </c>
      <c r="H153" s="8" t="s">
        <v>172</v>
      </c>
      <c r="I153" s="9">
        <f t="shared" si="24"/>
        <v>1</v>
      </c>
    </row>
    <row r="154" spans="1:9" ht="30.75" customHeight="1" x14ac:dyDescent="0.25">
      <c r="A154" s="107"/>
      <c r="B154" s="169"/>
      <c r="C154" s="47" t="s">
        <v>13</v>
      </c>
      <c r="D154" s="13">
        <v>51</v>
      </c>
      <c r="E154" s="13">
        <v>51</v>
      </c>
      <c r="F154" s="13">
        <v>51</v>
      </c>
      <c r="G154" s="13">
        <v>51</v>
      </c>
      <c r="H154" s="8" t="s">
        <v>172</v>
      </c>
      <c r="I154" s="9">
        <f t="shared" si="24"/>
        <v>1</v>
      </c>
    </row>
    <row r="155" spans="1:9" x14ac:dyDescent="0.25">
      <c r="A155" s="144"/>
      <c r="B155" s="106" t="s">
        <v>17</v>
      </c>
      <c r="C155" s="46" t="s">
        <v>16</v>
      </c>
      <c r="D155" s="10">
        <f>D156+D157</f>
        <v>10309.1</v>
      </c>
      <c r="E155" s="10">
        <f t="shared" ref="E155:G155" si="25">E156+E157</f>
        <v>10309.1</v>
      </c>
      <c r="F155" s="10">
        <f t="shared" si="25"/>
        <v>10309.1</v>
      </c>
      <c r="G155" s="10">
        <f t="shared" si="25"/>
        <v>10309.1</v>
      </c>
      <c r="H155" s="8" t="s">
        <v>172</v>
      </c>
      <c r="I155" s="9">
        <f t="shared" si="24"/>
        <v>1</v>
      </c>
    </row>
    <row r="156" spans="1:9" ht="31.5" x14ac:dyDescent="0.25">
      <c r="A156" s="146"/>
      <c r="B156" s="110"/>
      <c r="C156" s="47" t="str">
        <f>C153</f>
        <v>федеральный бюджет</v>
      </c>
      <c r="D156" s="7">
        <f>D153+D151</f>
        <v>10082.1</v>
      </c>
      <c r="E156" s="7">
        <f t="shared" ref="E156:G156" si="26">E153+E151</f>
        <v>10082.1</v>
      </c>
      <c r="F156" s="7">
        <f t="shared" si="26"/>
        <v>10082.1</v>
      </c>
      <c r="G156" s="7">
        <f t="shared" si="26"/>
        <v>10082.1</v>
      </c>
      <c r="H156" s="8" t="s">
        <v>172</v>
      </c>
      <c r="I156" s="9">
        <f t="shared" si="24"/>
        <v>1</v>
      </c>
    </row>
    <row r="157" spans="1:9" ht="31.5" x14ac:dyDescent="0.25">
      <c r="A157" s="51"/>
      <c r="B157" s="107"/>
      <c r="C157" s="47" t="s">
        <v>13</v>
      </c>
      <c r="D157" s="7">
        <f>D152+D154</f>
        <v>227</v>
      </c>
      <c r="E157" s="7">
        <f t="shared" ref="E157:G157" si="27">E152+E154</f>
        <v>227</v>
      </c>
      <c r="F157" s="7">
        <f t="shared" si="27"/>
        <v>227</v>
      </c>
      <c r="G157" s="7">
        <f t="shared" si="27"/>
        <v>227</v>
      </c>
      <c r="H157" s="8" t="s">
        <v>172</v>
      </c>
      <c r="I157" s="9">
        <f t="shared" si="24"/>
        <v>1</v>
      </c>
    </row>
    <row r="158" spans="1:9" x14ac:dyDescent="0.25">
      <c r="A158" s="144"/>
      <c r="B158" s="111" t="s">
        <v>14</v>
      </c>
      <c r="C158" s="46" t="s">
        <v>16</v>
      </c>
      <c r="D158" s="10">
        <f>D159+D160+D161</f>
        <v>311157.8</v>
      </c>
      <c r="E158" s="10">
        <f t="shared" ref="E158:G158" si="28">E159+E160+E161</f>
        <v>310979.3</v>
      </c>
      <c r="F158" s="10">
        <f t="shared" si="28"/>
        <v>293082.2</v>
      </c>
      <c r="G158" s="10">
        <f t="shared" si="28"/>
        <v>293082.2</v>
      </c>
      <c r="H158" s="8" t="s">
        <v>172</v>
      </c>
      <c r="I158" s="9">
        <f t="shared" si="24"/>
        <v>0.94240000000000002</v>
      </c>
    </row>
    <row r="159" spans="1:9" ht="31.5" x14ac:dyDescent="0.25">
      <c r="A159" s="146"/>
      <c r="B159" s="112"/>
      <c r="C159" s="47" t="s">
        <v>13</v>
      </c>
      <c r="D159" s="7">
        <f>D137+D148+D157</f>
        <v>287591.40000000002</v>
      </c>
      <c r="E159" s="7">
        <f t="shared" ref="E159:G159" si="29">E137+E148+E157</f>
        <v>287412.90000000002</v>
      </c>
      <c r="F159" s="7">
        <f>F137+F148+F157-0.1</f>
        <v>269515.80000000005</v>
      </c>
      <c r="G159" s="7">
        <f>G137+G148+G157-0.1</f>
        <v>269515.80000000005</v>
      </c>
      <c r="H159" s="8" t="s">
        <v>172</v>
      </c>
      <c r="I159" s="9">
        <f t="shared" si="24"/>
        <v>0.93769999999999998</v>
      </c>
    </row>
    <row r="160" spans="1:9" ht="47.25" x14ac:dyDescent="0.25">
      <c r="A160" s="146"/>
      <c r="B160" s="112"/>
      <c r="C160" s="47" t="s">
        <v>15</v>
      </c>
      <c r="D160" s="7">
        <f>D138+D149</f>
        <v>13484.3</v>
      </c>
      <c r="E160" s="7">
        <f t="shared" ref="E160:G160" si="30">E138+E149</f>
        <v>13484.3</v>
      </c>
      <c r="F160" s="7">
        <f t="shared" si="30"/>
        <v>13484.3</v>
      </c>
      <c r="G160" s="7">
        <f t="shared" si="30"/>
        <v>13484.3</v>
      </c>
      <c r="H160" s="8" t="s">
        <v>172</v>
      </c>
      <c r="I160" s="9">
        <f t="shared" si="24"/>
        <v>1</v>
      </c>
    </row>
    <row r="161" spans="1:9" ht="31.5" x14ac:dyDescent="0.25">
      <c r="A161" s="51"/>
      <c r="B161" s="113"/>
      <c r="C161" s="47" t="s">
        <v>101</v>
      </c>
      <c r="D161" s="7">
        <f>D156</f>
        <v>10082.1</v>
      </c>
      <c r="E161" s="7">
        <f t="shared" ref="E161:G161" si="31">E156</f>
        <v>10082.1</v>
      </c>
      <c r="F161" s="7">
        <f t="shared" si="31"/>
        <v>10082.1</v>
      </c>
      <c r="G161" s="7">
        <f t="shared" si="31"/>
        <v>10082.1</v>
      </c>
      <c r="H161" s="8" t="s">
        <v>172</v>
      </c>
      <c r="I161" s="9">
        <f t="shared" si="24"/>
        <v>1</v>
      </c>
    </row>
    <row r="162" spans="1:9" ht="15.75" customHeight="1" x14ac:dyDescent="0.25">
      <c r="A162" s="1">
        <v>6</v>
      </c>
      <c r="B162" s="130" t="s">
        <v>154</v>
      </c>
      <c r="C162" s="131"/>
      <c r="D162" s="131"/>
      <c r="E162" s="131"/>
      <c r="F162" s="131"/>
      <c r="G162" s="131"/>
      <c r="H162" s="131"/>
      <c r="I162" s="132"/>
    </row>
    <row r="163" spans="1:9" ht="47.25" x14ac:dyDescent="0.25">
      <c r="A163" s="1"/>
      <c r="B163" s="47" t="s">
        <v>164</v>
      </c>
      <c r="C163" s="47" t="s">
        <v>13</v>
      </c>
      <c r="D163" s="7">
        <f>2733+270</f>
        <v>3003</v>
      </c>
      <c r="E163" s="7">
        <f>1519.3+270</f>
        <v>1789.3</v>
      </c>
      <c r="F163" s="7">
        <f>305.5+25</f>
        <v>330.5</v>
      </c>
      <c r="G163" s="7">
        <f>305.5+25</f>
        <v>330.5</v>
      </c>
      <c r="H163" s="8" t="s">
        <v>172</v>
      </c>
      <c r="I163" s="9">
        <f>G163/D163</f>
        <v>0.11005661005661006</v>
      </c>
    </row>
    <row r="164" spans="1:9" x14ac:dyDescent="0.25">
      <c r="A164" s="124"/>
      <c r="B164" s="125" t="s">
        <v>14</v>
      </c>
      <c r="C164" s="46" t="s">
        <v>16</v>
      </c>
      <c r="D164" s="10">
        <f>D165</f>
        <v>3003</v>
      </c>
      <c r="E164" s="10">
        <f>E165</f>
        <v>1789.3</v>
      </c>
      <c r="F164" s="10">
        <f>F165</f>
        <v>330.5</v>
      </c>
      <c r="G164" s="10">
        <f>G165</f>
        <v>330.5</v>
      </c>
      <c r="H164" s="8" t="s">
        <v>172</v>
      </c>
      <c r="I164" s="9">
        <f>G164/D164</f>
        <v>0.11005661005661006</v>
      </c>
    </row>
    <row r="165" spans="1:9" ht="31.5" x14ac:dyDescent="0.25">
      <c r="A165" s="124"/>
      <c r="B165" s="126"/>
      <c r="C165" s="47" t="s">
        <v>13</v>
      </c>
      <c r="D165" s="7">
        <f>D163</f>
        <v>3003</v>
      </c>
      <c r="E165" s="7">
        <f>E163</f>
        <v>1789.3</v>
      </c>
      <c r="F165" s="7">
        <f>F163</f>
        <v>330.5</v>
      </c>
      <c r="G165" s="7">
        <f>G163</f>
        <v>330.5</v>
      </c>
      <c r="H165" s="8" t="s">
        <v>172</v>
      </c>
      <c r="I165" s="9">
        <f>G165/D165</f>
        <v>0.11005661005661006</v>
      </c>
    </row>
    <row r="166" spans="1:9" ht="15.75" customHeight="1" x14ac:dyDescent="0.25">
      <c r="A166" s="1">
        <v>7</v>
      </c>
      <c r="B166" s="130" t="s">
        <v>130</v>
      </c>
      <c r="C166" s="131"/>
      <c r="D166" s="131"/>
      <c r="E166" s="131"/>
      <c r="F166" s="131"/>
      <c r="G166" s="131"/>
      <c r="H166" s="131"/>
      <c r="I166" s="132"/>
    </row>
    <row r="167" spans="1:9" ht="15.75" customHeight="1" x14ac:dyDescent="0.25">
      <c r="A167" s="139" t="s">
        <v>18</v>
      </c>
      <c r="B167" s="140"/>
      <c r="C167" s="140"/>
      <c r="D167" s="140"/>
      <c r="E167" s="140"/>
      <c r="F167" s="140"/>
      <c r="G167" s="140"/>
      <c r="H167" s="140"/>
      <c r="I167" s="141"/>
    </row>
    <row r="168" spans="1:9" ht="63" x14ac:dyDescent="0.25">
      <c r="A168" s="6"/>
      <c r="B168" s="47" t="s">
        <v>48</v>
      </c>
      <c r="C168" s="47" t="s">
        <v>13</v>
      </c>
      <c r="D168" s="7">
        <v>283.5</v>
      </c>
      <c r="E168" s="7">
        <v>283.5</v>
      </c>
      <c r="F168" s="7">
        <v>15.6</v>
      </c>
      <c r="G168" s="7">
        <v>15.6</v>
      </c>
      <c r="H168" s="8" t="s">
        <v>172</v>
      </c>
      <c r="I168" s="9">
        <f>ROUND(G168/E168,4)</f>
        <v>5.5E-2</v>
      </c>
    </row>
    <row r="169" spans="1:9" s="84" customFormat="1" ht="31.5" x14ac:dyDescent="0.25">
      <c r="A169" s="15"/>
      <c r="B169" s="46" t="s">
        <v>17</v>
      </c>
      <c r="C169" s="46" t="s">
        <v>13</v>
      </c>
      <c r="D169" s="10">
        <f>D168</f>
        <v>283.5</v>
      </c>
      <c r="E169" s="10">
        <f>E168</f>
        <v>283.5</v>
      </c>
      <c r="F169" s="10">
        <f>F168</f>
        <v>15.6</v>
      </c>
      <c r="G169" s="10">
        <f>G168</f>
        <v>15.6</v>
      </c>
      <c r="H169" s="11" t="s">
        <v>172</v>
      </c>
      <c r="I169" s="12">
        <f>ROUND(G169/E169,4)</f>
        <v>5.5E-2</v>
      </c>
    </row>
    <row r="170" spans="1:9" ht="15.75" customHeight="1" x14ac:dyDescent="0.25">
      <c r="A170" s="139" t="s">
        <v>67</v>
      </c>
      <c r="B170" s="140"/>
      <c r="C170" s="140"/>
      <c r="D170" s="140"/>
      <c r="E170" s="140"/>
      <c r="F170" s="140"/>
      <c r="G170" s="140"/>
      <c r="H170" s="140"/>
      <c r="I170" s="141"/>
    </row>
    <row r="171" spans="1:9" s="84" customFormat="1" ht="31.5" x14ac:dyDescent="0.25">
      <c r="A171" s="15"/>
      <c r="B171" s="166" t="s">
        <v>68</v>
      </c>
      <c r="C171" s="47" t="s">
        <v>13</v>
      </c>
      <c r="D171" s="7">
        <v>4464.7</v>
      </c>
      <c r="E171" s="7">
        <v>4464.7</v>
      </c>
      <c r="F171" s="7">
        <v>2424.3000000000002</v>
      </c>
      <c r="G171" s="7">
        <v>2424.3000000000002</v>
      </c>
      <c r="H171" s="8" t="s">
        <v>172</v>
      </c>
      <c r="I171" s="9">
        <f t="shared" ref="I171:I183" si="32">ROUND(G171/E171,4)</f>
        <v>0.54300000000000004</v>
      </c>
    </row>
    <row r="172" spans="1:9" s="84" customFormat="1" ht="78.75" x14ac:dyDescent="0.25">
      <c r="A172" s="15"/>
      <c r="B172" s="166" t="s">
        <v>109</v>
      </c>
      <c r="C172" s="47" t="s">
        <v>15</v>
      </c>
      <c r="D172" s="7">
        <v>12361.05</v>
      </c>
      <c r="E172" s="7">
        <v>12361.05</v>
      </c>
      <c r="F172" s="7">
        <v>12221.9</v>
      </c>
      <c r="G172" s="7">
        <v>12221.9</v>
      </c>
      <c r="H172" s="8" t="s">
        <v>172</v>
      </c>
      <c r="I172" s="9">
        <f t="shared" si="32"/>
        <v>0.98870000000000002</v>
      </c>
    </row>
    <row r="173" spans="1:9" s="84" customFormat="1" ht="141.75" x14ac:dyDescent="0.25">
      <c r="A173" s="15"/>
      <c r="B173" s="166" t="s">
        <v>209</v>
      </c>
      <c r="C173" s="47" t="s">
        <v>15</v>
      </c>
      <c r="D173" s="7">
        <v>1085.42</v>
      </c>
      <c r="E173" s="7">
        <v>1085.42</v>
      </c>
      <c r="F173" s="7">
        <v>940.4</v>
      </c>
      <c r="G173" s="7">
        <v>940.4</v>
      </c>
      <c r="H173" s="8" t="s">
        <v>172</v>
      </c>
      <c r="I173" s="9">
        <f t="shared" si="32"/>
        <v>0.86639999999999995</v>
      </c>
    </row>
    <row r="174" spans="1:9" s="84" customFormat="1" ht="94.5" x14ac:dyDescent="0.25">
      <c r="A174" s="15"/>
      <c r="B174" s="166" t="s">
        <v>111</v>
      </c>
      <c r="C174" s="47" t="s">
        <v>13</v>
      </c>
      <c r="D174" s="7">
        <v>4688.68</v>
      </c>
      <c r="E174" s="7">
        <v>4688.68</v>
      </c>
      <c r="F174" s="7">
        <v>4635.8999999999996</v>
      </c>
      <c r="G174" s="7">
        <v>4635.8999999999996</v>
      </c>
      <c r="H174" s="8" t="s">
        <v>172</v>
      </c>
      <c r="I174" s="9">
        <f t="shared" si="32"/>
        <v>0.98870000000000002</v>
      </c>
    </row>
    <row r="175" spans="1:9" s="84" customFormat="1" ht="141.75" x14ac:dyDescent="0.25">
      <c r="A175" s="59"/>
      <c r="B175" s="167" t="s">
        <v>99</v>
      </c>
      <c r="C175" s="47" t="s">
        <v>13</v>
      </c>
      <c r="D175" s="7">
        <v>22150</v>
      </c>
      <c r="E175" s="7">
        <v>22150</v>
      </c>
      <c r="F175" s="7">
        <v>17309.400000000001</v>
      </c>
      <c r="G175" s="7">
        <v>17309.400000000001</v>
      </c>
      <c r="H175" s="8" t="s">
        <v>172</v>
      </c>
      <c r="I175" s="9">
        <f t="shared" si="32"/>
        <v>0.78149999999999997</v>
      </c>
    </row>
    <row r="176" spans="1:9" s="84" customFormat="1" ht="78.75" x14ac:dyDescent="0.25">
      <c r="A176" s="59"/>
      <c r="B176" s="167" t="s">
        <v>245</v>
      </c>
      <c r="C176" s="47" t="s">
        <v>13</v>
      </c>
      <c r="D176" s="7">
        <v>1552.2</v>
      </c>
      <c r="E176" s="7">
        <v>1552.2</v>
      </c>
      <c r="F176" s="7">
        <v>0</v>
      </c>
      <c r="G176" s="7">
        <v>0</v>
      </c>
      <c r="H176" s="8" t="s">
        <v>172</v>
      </c>
      <c r="I176" s="9">
        <f t="shared" si="32"/>
        <v>0</v>
      </c>
    </row>
    <row r="177" spans="1:9" s="84" customFormat="1" ht="141.75" x14ac:dyDescent="0.25">
      <c r="A177" s="59"/>
      <c r="B177" s="167" t="s">
        <v>208</v>
      </c>
      <c r="C177" s="47" t="s">
        <v>13</v>
      </c>
      <c r="D177" s="7">
        <v>350.32</v>
      </c>
      <c r="E177" s="7">
        <v>350.32</v>
      </c>
      <c r="F177" s="7">
        <v>303.5</v>
      </c>
      <c r="G177" s="7">
        <v>303.5</v>
      </c>
      <c r="H177" s="8" t="s">
        <v>172</v>
      </c>
      <c r="I177" s="9">
        <f t="shared" si="32"/>
        <v>0.86639999999999995</v>
      </c>
    </row>
    <row r="178" spans="1:9" s="84" customFormat="1" x14ac:dyDescent="0.25">
      <c r="A178" s="164"/>
      <c r="B178" s="106" t="s">
        <v>17</v>
      </c>
      <c r="C178" s="46" t="s">
        <v>84</v>
      </c>
      <c r="D178" s="10">
        <f>D180+D179</f>
        <v>46652.270000000004</v>
      </c>
      <c r="E178" s="10">
        <f>E180+E179</f>
        <v>46652.270000000004</v>
      </c>
      <c r="F178" s="10">
        <f>F180+F179</f>
        <v>37835.4</v>
      </c>
      <c r="G178" s="10">
        <f>G180+G179</f>
        <v>37835.4</v>
      </c>
      <c r="H178" s="8" t="s">
        <v>172</v>
      </c>
      <c r="I178" s="9">
        <f t="shared" si="32"/>
        <v>0.81100000000000005</v>
      </c>
    </row>
    <row r="179" spans="1:9" s="84" customFormat="1" ht="47.25" x14ac:dyDescent="0.25">
      <c r="A179" s="165"/>
      <c r="B179" s="110"/>
      <c r="C179" s="47" t="s">
        <v>15</v>
      </c>
      <c r="D179" s="7">
        <f>D172+D173-0.1</f>
        <v>13446.369999999999</v>
      </c>
      <c r="E179" s="7">
        <f>E172+E173-0.1</f>
        <v>13446.369999999999</v>
      </c>
      <c r="F179" s="7">
        <f t="shared" ref="F179:G179" si="33">F172+F173</f>
        <v>13162.3</v>
      </c>
      <c r="G179" s="7">
        <f t="shared" si="33"/>
        <v>13162.3</v>
      </c>
      <c r="H179" s="8" t="s">
        <v>172</v>
      </c>
      <c r="I179" s="9">
        <f t="shared" si="32"/>
        <v>0.97889999999999999</v>
      </c>
    </row>
    <row r="180" spans="1:9" s="84" customFormat="1" ht="31.5" x14ac:dyDescent="0.25">
      <c r="A180" s="157"/>
      <c r="B180" s="128"/>
      <c r="C180" s="47" t="s">
        <v>13</v>
      </c>
      <c r="D180" s="7">
        <f>D171+D174+D175+D177+D176</f>
        <v>33205.9</v>
      </c>
      <c r="E180" s="7">
        <f>E171+E174+E175+E177+E176</f>
        <v>33205.9</v>
      </c>
      <c r="F180" s="7">
        <f t="shared" ref="F180:G180" si="34">F171+F174+F175+F177+F176</f>
        <v>24673.100000000002</v>
      </c>
      <c r="G180" s="7">
        <f t="shared" si="34"/>
        <v>24673.100000000002</v>
      </c>
      <c r="H180" s="8" t="s">
        <v>172</v>
      </c>
      <c r="I180" s="9">
        <f t="shared" si="32"/>
        <v>0.74299999999999999</v>
      </c>
    </row>
    <row r="181" spans="1:9" x14ac:dyDescent="0.25">
      <c r="A181" s="124"/>
      <c r="B181" s="125" t="s">
        <v>14</v>
      </c>
      <c r="C181" s="46" t="s">
        <v>16</v>
      </c>
      <c r="D181" s="10">
        <f>D182+D183</f>
        <v>46935.770000000004</v>
      </c>
      <c r="E181" s="10">
        <f>E182+E183</f>
        <v>46935.770000000004</v>
      </c>
      <c r="F181" s="10">
        <f>F182+F183</f>
        <v>37850.9</v>
      </c>
      <c r="G181" s="10">
        <f>G182+G183</f>
        <v>37850.9</v>
      </c>
      <c r="H181" s="8" t="s">
        <v>172</v>
      </c>
      <c r="I181" s="9">
        <f t="shared" si="32"/>
        <v>0.80640000000000001</v>
      </c>
    </row>
    <row r="182" spans="1:9" ht="31.5" x14ac:dyDescent="0.25">
      <c r="A182" s="124"/>
      <c r="B182" s="126"/>
      <c r="C182" s="47" t="s">
        <v>13</v>
      </c>
      <c r="D182" s="7">
        <f>D169+D180</f>
        <v>33489.4</v>
      </c>
      <c r="E182" s="7">
        <f>E169+E180</f>
        <v>33489.4</v>
      </c>
      <c r="F182" s="7">
        <f>F169+F180-0.1</f>
        <v>24688.600000000002</v>
      </c>
      <c r="G182" s="7">
        <f>G169+G180-0.1</f>
        <v>24688.600000000002</v>
      </c>
      <c r="H182" s="8" t="s">
        <v>172</v>
      </c>
      <c r="I182" s="9">
        <f t="shared" si="32"/>
        <v>0.73719999999999997</v>
      </c>
    </row>
    <row r="183" spans="1:9" ht="47.25" x14ac:dyDescent="0.25">
      <c r="A183" s="124"/>
      <c r="B183" s="126"/>
      <c r="C183" s="47" t="s">
        <v>15</v>
      </c>
      <c r="D183" s="7">
        <f>D179</f>
        <v>13446.369999999999</v>
      </c>
      <c r="E183" s="7">
        <f>E179</f>
        <v>13446.369999999999</v>
      </c>
      <c r="F183" s="7">
        <f>F179</f>
        <v>13162.3</v>
      </c>
      <c r="G183" s="7">
        <f>G179</f>
        <v>13162.3</v>
      </c>
      <c r="H183" s="8" t="s">
        <v>172</v>
      </c>
      <c r="I183" s="9">
        <f t="shared" si="32"/>
        <v>0.97889999999999999</v>
      </c>
    </row>
    <row r="184" spans="1:9" x14ac:dyDescent="0.25">
      <c r="A184" s="1">
        <v>8</v>
      </c>
      <c r="B184" s="174" t="s">
        <v>131</v>
      </c>
      <c r="C184" s="175"/>
      <c r="D184" s="175"/>
      <c r="E184" s="175"/>
      <c r="F184" s="175"/>
      <c r="G184" s="175"/>
      <c r="H184" s="175"/>
      <c r="I184" s="176"/>
    </row>
    <row r="185" spans="1:9" x14ac:dyDescent="0.25">
      <c r="A185" s="153" t="s">
        <v>51</v>
      </c>
      <c r="B185" s="154"/>
      <c r="C185" s="154"/>
      <c r="D185" s="154"/>
      <c r="E185" s="154"/>
      <c r="F185" s="154"/>
      <c r="G185" s="154"/>
      <c r="H185" s="154"/>
      <c r="I185" s="155"/>
    </row>
    <row r="186" spans="1:9" ht="63" x14ac:dyDescent="0.25">
      <c r="A186" s="24"/>
      <c r="B186" s="47" t="s">
        <v>69</v>
      </c>
      <c r="C186" s="47" t="s">
        <v>13</v>
      </c>
      <c r="D186" s="7">
        <v>0</v>
      </c>
      <c r="E186" s="7">
        <v>0</v>
      </c>
      <c r="F186" s="7">
        <v>0</v>
      </c>
      <c r="G186" s="7">
        <v>0</v>
      </c>
      <c r="H186" s="8" t="s">
        <v>172</v>
      </c>
      <c r="I186" s="9">
        <v>0</v>
      </c>
    </row>
    <row r="187" spans="1:9" x14ac:dyDescent="0.25">
      <c r="A187" s="144"/>
      <c r="B187" s="106" t="s">
        <v>17</v>
      </c>
      <c r="C187" s="46" t="s">
        <v>16</v>
      </c>
      <c r="D187" s="10">
        <f>D188</f>
        <v>0</v>
      </c>
      <c r="E187" s="10">
        <f>E188</f>
        <v>0</v>
      </c>
      <c r="F187" s="10">
        <f>F188</f>
        <v>0</v>
      </c>
      <c r="G187" s="10">
        <f>G188</f>
        <v>0</v>
      </c>
      <c r="H187" s="8" t="s">
        <v>172</v>
      </c>
      <c r="I187" s="9">
        <v>0</v>
      </c>
    </row>
    <row r="188" spans="1:9" ht="31.5" x14ac:dyDescent="0.25">
      <c r="A188" s="146"/>
      <c r="B188" s="121"/>
      <c r="C188" s="47" t="s">
        <v>13</v>
      </c>
      <c r="D188" s="7">
        <f>D186</f>
        <v>0</v>
      </c>
      <c r="E188" s="7">
        <f>E186</f>
        <v>0</v>
      </c>
      <c r="F188" s="7">
        <f>F186</f>
        <v>0</v>
      </c>
      <c r="G188" s="7">
        <f>G186</f>
        <v>0</v>
      </c>
      <c r="H188" s="8" t="s">
        <v>172</v>
      </c>
      <c r="I188" s="9">
        <v>0</v>
      </c>
    </row>
    <row r="189" spans="1:9" s="5" customFormat="1" ht="15.75" customHeight="1" x14ac:dyDescent="0.25">
      <c r="A189" s="153" t="s">
        <v>151</v>
      </c>
      <c r="B189" s="154"/>
      <c r="C189" s="154"/>
      <c r="D189" s="154"/>
      <c r="E189" s="154"/>
      <c r="F189" s="154"/>
      <c r="G189" s="154"/>
      <c r="H189" s="154"/>
      <c r="I189" s="155"/>
    </row>
    <row r="190" spans="1:9" s="5" customFormat="1" ht="31.5" x14ac:dyDescent="0.25">
      <c r="A190" s="52"/>
      <c r="B190" s="47" t="s">
        <v>96</v>
      </c>
      <c r="C190" s="47" t="s">
        <v>13</v>
      </c>
      <c r="D190" s="7">
        <v>150</v>
      </c>
      <c r="E190" s="7">
        <v>150</v>
      </c>
      <c r="F190" s="7">
        <v>150</v>
      </c>
      <c r="G190" s="7">
        <v>0</v>
      </c>
      <c r="H190" s="8" t="s">
        <v>172</v>
      </c>
      <c r="I190" s="9">
        <v>0</v>
      </c>
    </row>
    <row r="191" spans="1:9" s="5" customFormat="1" ht="173.25" x14ac:dyDescent="0.25">
      <c r="A191" s="52"/>
      <c r="B191" s="47" t="s">
        <v>132</v>
      </c>
      <c r="C191" s="47" t="s">
        <v>13</v>
      </c>
      <c r="D191" s="7">
        <v>0</v>
      </c>
      <c r="E191" s="7">
        <v>0</v>
      </c>
      <c r="F191" s="7">
        <v>0</v>
      </c>
      <c r="G191" s="7">
        <v>0</v>
      </c>
      <c r="H191" s="8" t="s">
        <v>172</v>
      </c>
      <c r="I191" s="9">
        <v>0</v>
      </c>
    </row>
    <row r="192" spans="1:9" s="5" customFormat="1" ht="94.5" x14ac:dyDescent="0.25">
      <c r="A192" s="52"/>
      <c r="B192" s="47" t="s">
        <v>230</v>
      </c>
      <c r="C192" s="47" t="s">
        <v>13</v>
      </c>
      <c r="D192" s="7">
        <v>0</v>
      </c>
      <c r="E192" s="7">
        <v>0</v>
      </c>
      <c r="F192" s="7">
        <v>0</v>
      </c>
      <c r="G192" s="7">
        <v>0</v>
      </c>
      <c r="H192" s="8" t="s">
        <v>172</v>
      </c>
      <c r="I192" s="9">
        <v>0</v>
      </c>
    </row>
    <row r="193" spans="1:9" s="5" customFormat="1" x14ac:dyDescent="0.25">
      <c r="A193" s="124"/>
      <c r="B193" s="125" t="s">
        <v>17</v>
      </c>
      <c r="C193" s="25" t="s">
        <v>16</v>
      </c>
      <c r="D193" s="26">
        <f>D194</f>
        <v>150</v>
      </c>
      <c r="E193" s="26">
        <f>E194</f>
        <v>150</v>
      </c>
      <c r="F193" s="26">
        <f>F194</f>
        <v>150</v>
      </c>
      <c r="G193" s="26">
        <f>G194</f>
        <v>0</v>
      </c>
      <c r="H193" s="8" t="s">
        <v>172</v>
      </c>
      <c r="I193" s="9">
        <v>0</v>
      </c>
    </row>
    <row r="194" spans="1:9" s="5" customFormat="1" ht="31.5" x14ac:dyDescent="0.25">
      <c r="A194" s="126"/>
      <c r="B194" s="126"/>
      <c r="C194" s="47" t="s">
        <v>13</v>
      </c>
      <c r="D194" s="7">
        <f>D190+D191+D192</f>
        <v>150</v>
      </c>
      <c r="E194" s="7">
        <f>E190+E191+E192</f>
        <v>150</v>
      </c>
      <c r="F194" s="7">
        <f>F190+F191+F192</f>
        <v>150</v>
      </c>
      <c r="G194" s="7">
        <f>G190+G191+G192</f>
        <v>0</v>
      </c>
      <c r="H194" s="8" t="s">
        <v>172</v>
      </c>
      <c r="I194" s="9">
        <v>0</v>
      </c>
    </row>
    <row r="195" spans="1:9" s="5" customFormat="1" x14ac:dyDescent="0.25">
      <c r="A195" s="52"/>
      <c r="B195" s="153" t="s">
        <v>103</v>
      </c>
      <c r="C195" s="154"/>
      <c r="D195" s="154"/>
      <c r="E195" s="154"/>
      <c r="F195" s="154"/>
      <c r="G195" s="154"/>
      <c r="H195" s="154"/>
      <c r="I195" s="155"/>
    </row>
    <row r="196" spans="1:9" s="5" customFormat="1" ht="31.5" x14ac:dyDescent="0.25">
      <c r="A196" s="52"/>
      <c r="B196" s="47" t="s">
        <v>104</v>
      </c>
      <c r="C196" s="47" t="s">
        <v>13</v>
      </c>
      <c r="D196" s="7">
        <v>30</v>
      </c>
      <c r="E196" s="7">
        <v>30</v>
      </c>
      <c r="F196" s="7">
        <v>30</v>
      </c>
      <c r="G196" s="7">
        <v>30</v>
      </c>
      <c r="H196" s="8" t="s">
        <v>172</v>
      </c>
      <c r="I196" s="9">
        <f t="shared" ref="I196:I197" si="35">ROUND(G196/E196,4)</f>
        <v>1</v>
      </c>
    </row>
    <row r="197" spans="1:9" s="5" customFormat="1" ht="31.5" x14ac:dyDescent="0.25">
      <c r="A197" s="52"/>
      <c r="B197" s="47" t="s">
        <v>105</v>
      </c>
      <c r="C197" s="47" t="s">
        <v>13</v>
      </c>
      <c r="D197" s="7">
        <v>20</v>
      </c>
      <c r="E197" s="7">
        <v>10</v>
      </c>
      <c r="F197" s="7">
        <v>0</v>
      </c>
      <c r="G197" s="7">
        <v>0</v>
      </c>
      <c r="H197" s="8" t="s">
        <v>172</v>
      </c>
      <c r="I197" s="9">
        <f t="shared" si="35"/>
        <v>0</v>
      </c>
    </row>
    <row r="198" spans="1:9" s="5" customFormat="1" x14ac:dyDescent="0.25">
      <c r="A198" s="124"/>
      <c r="B198" s="125" t="s">
        <v>17</v>
      </c>
      <c r="C198" s="25" t="s">
        <v>16</v>
      </c>
      <c r="D198" s="26">
        <f>D199</f>
        <v>50</v>
      </c>
      <c r="E198" s="26">
        <f>E199</f>
        <v>40</v>
      </c>
      <c r="F198" s="26">
        <f>F199</f>
        <v>30</v>
      </c>
      <c r="G198" s="26">
        <f>G199</f>
        <v>30</v>
      </c>
      <c r="H198" s="11" t="s">
        <v>172</v>
      </c>
      <c r="I198" s="12">
        <f>G198/D198</f>
        <v>0.6</v>
      </c>
    </row>
    <row r="199" spans="1:9" s="5" customFormat="1" ht="31.5" x14ac:dyDescent="0.25">
      <c r="A199" s="126"/>
      <c r="B199" s="126"/>
      <c r="C199" s="47" t="s">
        <v>13</v>
      </c>
      <c r="D199" s="7">
        <f>D196+D197</f>
        <v>50</v>
      </c>
      <c r="E199" s="7">
        <f>E196+E197</f>
        <v>40</v>
      </c>
      <c r="F199" s="7">
        <f>F196+F197</f>
        <v>30</v>
      </c>
      <c r="G199" s="7">
        <f>G196+G197</f>
        <v>30</v>
      </c>
      <c r="H199" s="8" t="s">
        <v>172</v>
      </c>
      <c r="I199" s="12">
        <f t="shared" ref="I199:I201" si="36">G199/D199</f>
        <v>0.6</v>
      </c>
    </row>
    <row r="200" spans="1:9" s="5" customFormat="1" x14ac:dyDescent="0.25">
      <c r="A200" s="108"/>
      <c r="B200" s="106" t="s">
        <v>14</v>
      </c>
      <c r="C200" s="25" t="s">
        <v>16</v>
      </c>
      <c r="D200" s="26">
        <f>D201</f>
        <v>200</v>
      </c>
      <c r="E200" s="26">
        <f>E201</f>
        <v>190</v>
      </c>
      <c r="F200" s="26">
        <f>F201</f>
        <v>180</v>
      </c>
      <c r="G200" s="26">
        <f>G201</f>
        <v>30</v>
      </c>
      <c r="H200" s="11" t="s">
        <v>172</v>
      </c>
      <c r="I200" s="12">
        <f t="shared" si="36"/>
        <v>0.15</v>
      </c>
    </row>
    <row r="201" spans="1:9" s="5" customFormat="1" ht="31.5" x14ac:dyDescent="0.25">
      <c r="A201" s="128"/>
      <c r="B201" s="120"/>
      <c r="C201" s="47" t="s">
        <v>13</v>
      </c>
      <c r="D201" s="7">
        <f>D188+D194+D199</f>
        <v>200</v>
      </c>
      <c r="E201" s="7">
        <f>E188+E194+E199</f>
        <v>190</v>
      </c>
      <c r="F201" s="7">
        <f>F188+F194+F199</f>
        <v>180</v>
      </c>
      <c r="G201" s="7">
        <f>G188+G194+G199</f>
        <v>30</v>
      </c>
      <c r="H201" s="8" t="s">
        <v>172</v>
      </c>
      <c r="I201" s="12">
        <f t="shared" si="36"/>
        <v>0.15</v>
      </c>
    </row>
    <row r="202" spans="1:9" x14ac:dyDescent="0.25">
      <c r="A202" s="1">
        <v>9</v>
      </c>
      <c r="B202" s="150" t="s">
        <v>133</v>
      </c>
      <c r="C202" s="151"/>
      <c r="D202" s="151"/>
      <c r="E202" s="151"/>
      <c r="F202" s="151"/>
      <c r="G202" s="151"/>
      <c r="H202" s="151"/>
      <c r="I202" s="152"/>
    </row>
    <row r="203" spans="1:9" x14ac:dyDescent="0.25">
      <c r="A203" s="1"/>
      <c r="B203" s="117" t="s">
        <v>49</v>
      </c>
      <c r="C203" s="118"/>
      <c r="D203" s="118"/>
      <c r="E203" s="118"/>
      <c r="F203" s="118"/>
      <c r="G203" s="118"/>
      <c r="H203" s="118"/>
      <c r="I203" s="119"/>
    </row>
    <row r="204" spans="1:9" ht="31.5" x14ac:dyDescent="0.25">
      <c r="A204" s="57"/>
      <c r="B204" s="30" t="s">
        <v>246</v>
      </c>
      <c r="C204" s="47" t="s">
        <v>13</v>
      </c>
      <c r="D204" s="82">
        <v>16500</v>
      </c>
      <c r="E204" s="82">
        <v>16500</v>
      </c>
      <c r="F204" s="82">
        <v>9074.1</v>
      </c>
      <c r="G204" s="82">
        <v>9074.1</v>
      </c>
      <c r="H204" s="8" t="s">
        <v>172</v>
      </c>
      <c r="I204" s="9">
        <f t="shared" ref="I204" si="37">ROUND(G204/E204,4)</f>
        <v>0.54990000000000006</v>
      </c>
    </row>
    <row r="205" spans="1:9" ht="31.5" x14ac:dyDescent="0.25">
      <c r="A205" s="57"/>
      <c r="B205" s="27" t="s">
        <v>231</v>
      </c>
      <c r="C205" s="47" t="s">
        <v>13</v>
      </c>
      <c r="D205" s="7">
        <f>2724.7+13.5+8.5</f>
        <v>2746.7</v>
      </c>
      <c r="E205" s="7">
        <f>2724.7+13.5+4.3</f>
        <v>2742.5</v>
      </c>
      <c r="F205" s="7">
        <f>2563+3.6+3.6</f>
        <v>2570.1999999999998</v>
      </c>
      <c r="G205" s="7">
        <f>2563+3.6+3.6</f>
        <v>2570.1999999999998</v>
      </c>
      <c r="H205" s="8" t="s">
        <v>172</v>
      </c>
      <c r="I205" s="9">
        <f>ROUND(G205/E205,4)</f>
        <v>0.93720000000000003</v>
      </c>
    </row>
    <row r="206" spans="1:9" x14ac:dyDescent="0.25">
      <c r="A206" s="144"/>
      <c r="B206" s="106" t="s">
        <v>17</v>
      </c>
      <c r="C206" s="46" t="s">
        <v>16</v>
      </c>
      <c r="D206" s="10">
        <f>D207</f>
        <v>19246.7</v>
      </c>
      <c r="E206" s="10">
        <f>E207</f>
        <v>19242.5</v>
      </c>
      <c r="F206" s="10">
        <f>F207</f>
        <v>11644.4</v>
      </c>
      <c r="G206" s="10">
        <f>G207</f>
        <v>11644.4</v>
      </c>
      <c r="H206" s="8" t="s">
        <v>172</v>
      </c>
      <c r="I206" s="9">
        <f t="shared" ref="I206:I207" si="38">ROUND(G206/E206,4)</f>
        <v>0.60509999999999997</v>
      </c>
    </row>
    <row r="207" spans="1:9" ht="31.5" x14ac:dyDescent="0.25">
      <c r="A207" s="146"/>
      <c r="B207" s="107"/>
      <c r="C207" s="47" t="s">
        <v>13</v>
      </c>
      <c r="D207" s="7">
        <f>SUM(D204:D205)</f>
        <v>19246.7</v>
      </c>
      <c r="E207" s="7">
        <f t="shared" ref="E207" si="39">SUM(E204:E205)</f>
        <v>19242.5</v>
      </c>
      <c r="F207" s="7">
        <f>SUM(F204:F205)+0.1</f>
        <v>11644.4</v>
      </c>
      <c r="G207" s="7">
        <f>SUM(G204:G205)+0.1</f>
        <v>11644.4</v>
      </c>
      <c r="H207" s="8" t="s">
        <v>172</v>
      </c>
      <c r="I207" s="9">
        <f t="shared" si="38"/>
        <v>0.60509999999999997</v>
      </c>
    </row>
    <row r="208" spans="1:9" ht="15.75" customHeight="1" x14ac:dyDescent="0.25">
      <c r="A208" s="117" t="s">
        <v>12</v>
      </c>
      <c r="B208" s="118"/>
      <c r="C208" s="118"/>
      <c r="D208" s="118"/>
      <c r="E208" s="118"/>
      <c r="F208" s="118"/>
      <c r="G208" s="118"/>
      <c r="H208" s="118"/>
      <c r="I208" s="119"/>
    </row>
    <row r="209" spans="1:9" ht="134.25" customHeight="1" x14ac:dyDescent="0.25">
      <c r="A209" s="28"/>
      <c r="B209" s="177" t="s">
        <v>264</v>
      </c>
      <c r="C209" s="47" t="s">
        <v>15</v>
      </c>
      <c r="D209" s="23">
        <f>41941.3+42635.7</f>
        <v>84577</v>
      </c>
      <c r="E209" s="23">
        <f>41941.3+42635.7</f>
        <v>84577</v>
      </c>
      <c r="F209" s="23">
        <f>41941.3+42635.7</f>
        <v>84577</v>
      </c>
      <c r="G209" s="23">
        <f>41941.3+42635.7</f>
        <v>84577</v>
      </c>
      <c r="H209" s="8" t="s">
        <v>172</v>
      </c>
      <c r="I209" s="9">
        <f t="shared" ref="I209:I218" si="40">ROUND(G209/E209,4)</f>
        <v>1</v>
      </c>
    </row>
    <row r="210" spans="1:9" ht="47.25" x14ac:dyDescent="0.25">
      <c r="A210" s="28"/>
      <c r="B210" s="177" t="s">
        <v>265</v>
      </c>
      <c r="C210" s="47" t="s">
        <v>13</v>
      </c>
      <c r="D210" s="23">
        <v>40902.800000000003</v>
      </c>
      <c r="E210" s="23">
        <v>40902.800000000003</v>
      </c>
      <c r="F210" s="23">
        <v>40902.800000000003</v>
      </c>
      <c r="G210" s="23">
        <v>40902.800000000003</v>
      </c>
      <c r="H210" s="8" t="s">
        <v>172</v>
      </c>
      <c r="I210" s="9">
        <f t="shared" si="40"/>
        <v>1</v>
      </c>
    </row>
    <row r="211" spans="1:9" ht="47.25" x14ac:dyDescent="0.25">
      <c r="A211" s="58"/>
      <c r="B211" s="30" t="s">
        <v>202</v>
      </c>
      <c r="C211" s="47" t="s">
        <v>15</v>
      </c>
      <c r="D211" s="23">
        <v>34580</v>
      </c>
      <c r="E211" s="23">
        <v>34580</v>
      </c>
      <c r="F211" s="23">
        <v>34580</v>
      </c>
      <c r="G211" s="23">
        <v>34580</v>
      </c>
      <c r="H211" s="8" t="s">
        <v>172</v>
      </c>
      <c r="I211" s="9">
        <f t="shared" si="40"/>
        <v>1</v>
      </c>
    </row>
    <row r="212" spans="1:9" ht="31.5" x14ac:dyDescent="0.25">
      <c r="A212" s="1"/>
      <c r="B212" s="30" t="s">
        <v>202</v>
      </c>
      <c r="C212" s="47" t="s">
        <v>13</v>
      </c>
      <c r="D212" s="23">
        <v>37012.6</v>
      </c>
      <c r="E212" s="23">
        <v>37012.6</v>
      </c>
      <c r="F212" s="23">
        <v>36991.9</v>
      </c>
      <c r="G212" s="23">
        <v>36991.9</v>
      </c>
      <c r="H212" s="8" t="s">
        <v>172</v>
      </c>
      <c r="I212" s="9">
        <f t="shared" si="40"/>
        <v>0.99939999999999996</v>
      </c>
    </row>
    <row r="213" spans="1:9" x14ac:dyDescent="0.25">
      <c r="A213" s="144"/>
      <c r="B213" s="106" t="s">
        <v>17</v>
      </c>
      <c r="C213" s="46" t="s">
        <v>16</v>
      </c>
      <c r="D213" s="10">
        <f>D214+D215</f>
        <v>197072.4</v>
      </c>
      <c r="E213" s="10">
        <f>E214+E215</f>
        <v>197072.4</v>
      </c>
      <c r="F213" s="10">
        <f>F214+F215</f>
        <v>197051.7</v>
      </c>
      <c r="G213" s="10">
        <f>G214+G215</f>
        <v>197051.7</v>
      </c>
      <c r="H213" s="11" t="s">
        <v>172</v>
      </c>
      <c r="I213" s="12">
        <f t="shared" si="40"/>
        <v>0.99990000000000001</v>
      </c>
    </row>
    <row r="214" spans="1:9" ht="31.5" x14ac:dyDescent="0.25">
      <c r="A214" s="146"/>
      <c r="B214" s="121"/>
      <c r="C214" s="47" t="s">
        <v>13</v>
      </c>
      <c r="D214" s="7">
        <f>D210+D212</f>
        <v>77915.399999999994</v>
      </c>
      <c r="E214" s="7">
        <f>E210+E212</f>
        <v>77915.399999999994</v>
      </c>
      <c r="F214" s="7">
        <f>F210+F212</f>
        <v>77894.700000000012</v>
      </c>
      <c r="G214" s="7">
        <f>G210+G212</f>
        <v>77894.700000000012</v>
      </c>
      <c r="H214" s="8" t="s">
        <v>172</v>
      </c>
      <c r="I214" s="9">
        <f t="shared" si="40"/>
        <v>0.99970000000000003</v>
      </c>
    </row>
    <row r="215" spans="1:9" ht="47.25" x14ac:dyDescent="0.25">
      <c r="A215" s="146"/>
      <c r="B215" s="121"/>
      <c r="C215" s="47" t="s">
        <v>15</v>
      </c>
      <c r="D215" s="7">
        <f>D209+D211</f>
        <v>119157</v>
      </c>
      <c r="E215" s="7">
        <f>E209+E211</f>
        <v>119157</v>
      </c>
      <c r="F215" s="7">
        <f>F209+F211</f>
        <v>119157</v>
      </c>
      <c r="G215" s="7">
        <f>G209+G211</f>
        <v>119157</v>
      </c>
      <c r="H215" s="8" t="s">
        <v>172</v>
      </c>
      <c r="I215" s="9">
        <f t="shared" si="40"/>
        <v>1</v>
      </c>
    </row>
    <row r="216" spans="1:9" ht="31.5" x14ac:dyDescent="0.25">
      <c r="A216" s="114"/>
      <c r="B216" s="106" t="s">
        <v>14</v>
      </c>
      <c r="C216" s="46" t="s">
        <v>3</v>
      </c>
      <c r="D216" s="10">
        <f>D217+D218</f>
        <v>216319.09999999998</v>
      </c>
      <c r="E216" s="10">
        <f>E217+E218</f>
        <v>216314.8</v>
      </c>
      <c r="F216" s="10">
        <f>F217+F218</f>
        <v>208696.1</v>
      </c>
      <c r="G216" s="10">
        <f>G217+G218</f>
        <v>208696.1</v>
      </c>
      <c r="H216" s="11" t="s">
        <v>172</v>
      </c>
      <c r="I216" s="12">
        <f t="shared" si="40"/>
        <v>0.96479999999999999</v>
      </c>
    </row>
    <row r="217" spans="1:9" ht="31.5" x14ac:dyDescent="0.25">
      <c r="A217" s="115"/>
      <c r="B217" s="110"/>
      <c r="C217" s="47" t="s">
        <v>13</v>
      </c>
      <c r="D217" s="7">
        <f>D207+D214</f>
        <v>97162.099999999991</v>
      </c>
      <c r="E217" s="7">
        <f>E207+E214-0.1</f>
        <v>97157.799999999988</v>
      </c>
      <c r="F217" s="7">
        <f>F207+F214</f>
        <v>89539.1</v>
      </c>
      <c r="G217" s="7">
        <f>G207+G214</f>
        <v>89539.1</v>
      </c>
      <c r="H217" s="8" t="s">
        <v>172</v>
      </c>
      <c r="I217" s="9">
        <f t="shared" si="40"/>
        <v>0.92159999999999997</v>
      </c>
    </row>
    <row r="218" spans="1:9" ht="47.25" x14ac:dyDescent="0.25">
      <c r="A218" s="157"/>
      <c r="B218" s="128"/>
      <c r="C218" s="47" t="s">
        <v>15</v>
      </c>
      <c r="D218" s="7">
        <f>D215</f>
        <v>119157</v>
      </c>
      <c r="E218" s="7">
        <f>E215</f>
        <v>119157</v>
      </c>
      <c r="F218" s="7">
        <f>F215</f>
        <v>119157</v>
      </c>
      <c r="G218" s="7">
        <f>G215</f>
        <v>119157</v>
      </c>
      <c r="H218" s="8" t="s">
        <v>172</v>
      </c>
      <c r="I218" s="9">
        <f t="shared" si="40"/>
        <v>1</v>
      </c>
    </row>
    <row r="219" spans="1:9" x14ac:dyDescent="0.25">
      <c r="A219" s="1">
        <v>10</v>
      </c>
      <c r="B219" s="130" t="s">
        <v>106</v>
      </c>
      <c r="C219" s="131"/>
      <c r="D219" s="131"/>
      <c r="E219" s="131"/>
      <c r="F219" s="131"/>
      <c r="G219" s="131"/>
      <c r="H219" s="131"/>
      <c r="I219" s="132"/>
    </row>
    <row r="220" spans="1:9" ht="47.25" x14ac:dyDescent="0.25">
      <c r="A220" s="31"/>
      <c r="B220" s="47" t="s">
        <v>19</v>
      </c>
      <c r="C220" s="47" t="s">
        <v>13</v>
      </c>
      <c r="D220" s="7">
        <v>1766.2</v>
      </c>
      <c r="E220" s="7">
        <v>1766.2</v>
      </c>
      <c r="F220" s="7">
        <v>1734.5</v>
      </c>
      <c r="G220" s="7">
        <v>1719.4</v>
      </c>
      <c r="H220" s="8" t="s">
        <v>172</v>
      </c>
      <c r="I220" s="9">
        <f>ROUND(G220/E220,4)</f>
        <v>0.97350000000000003</v>
      </c>
    </row>
    <row r="221" spans="1:9" ht="63" x14ac:dyDescent="0.25">
      <c r="A221" s="31"/>
      <c r="B221" s="47" t="s">
        <v>88</v>
      </c>
      <c r="C221" s="47" t="s">
        <v>13</v>
      </c>
      <c r="D221" s="7">
        <v>562</v>
      </c>
      <c r="E221" s="7">
        <v>562</v>
      </c>
      <c r="F221" s="7">
        <v>390</v>
      </c>
      <c r="G221" s="7">
        <v>390</v>
      </c>
      <c r="H221" s="8" t="s">
        <v>172</v>
      </c>
      <c r="I221" s="9">
        <f>ROUND(G221/E221,4)</f>
        <v>0.69399999999999995</v>
      </c>
    </row>
    <row r="222" spans="1:9" ht="78.75" x14ac:dyDescent="0.25">
      <c r="A222" s="49"/>
      <c r="B222" s="48" t="s">
        <v>247</v>
      </c>
      <c r="C222" s="47" t="s">
        <v>13</v>
      </c>
      <c r="D222" s="7">
        <v>41</v>
      </c>
      <c r="E222" s="7">
        <v>41</v>
      </c>
      <c r="F222" s="7">
        <v>41</v>
      </c>
      <c r="G222" s="7">
        <v>39.6</v>
      </c>
      <c r="H222" s="8" t="s">
        <v>172</v>
      </c>
      <c r="I222" s="9">
        <f>ROUND(G222/E222,4)</f>
        <v>0.96589999999999998</v>
      </c>
    </row>
    <row r="223" spans="1:9" x14ac:dyDescent="0.25">
      <c r="A223" s="144"/>
      <c r="B223" s="106" t="s">
        <v>14</v>
      </c>
      <c r="C223" s="46" t="s">
        <v>16</v>
      </c>
      <c r="D223" s="10">
        <f>D224</f>
        <v>2369.1999999999998</v>
      </c>
      <c r="E223" s="10">
        <f>E224</f>
        <v>2369.1999999999998</v>
      </c>
      <c r="F223" s="10">
        <f>F224</f>
        <v>2165.5</v>
      </c>
      <c r="G223" s="10">
        <f>G224</f>
        <v>2149</v>
      </c>
      <c r="H223" s="8" t="s">
        <v>172</v>
      </c>
      <c r="I223" s="9">
        <f>ROUND(G223/E223,4)</f>
        <v>0.90710000000000002</v>
      </c>
    </row>
    <row r="224" spans="1:9" s="85" customFormat="1" ht="31.5" x14ac:dyDescent="0.25">
      <c r="A224" s="146"/>
      <c r="B224" s="121"/>
      <c r="C224" s="47" t="s">
        <v>13</v>
      </c>
      <c r="D224" s="7">
        <f>D220+D221+D222</f>
        <v>2369.1999999999998</v>
      </c>
      <c r="E224" s="7">
        <f t="shared" ref="E224" si="41">E220+E221+E222</f>
        <v>2369.1999999999998</v>
      </c>
      <c r="F224" s="7">
        <f>F220+F221+F222</f>
        <v>2165.5</v>
      </c>
      <c r="G224" s="7">
        <f>G220+G221+G222</f>
        <v>2149</v>
      </c>
      <c r="H224" s="8" t="s">
        <v>172</v>
      </c>
      <c r="I224" s="9">
        <f>ROUND(G224/E224,4)</f>
        <v>0.90710000000000002</v>
      </c>
    </row>
    <row r="225" spans="1:9" x14ac:dyDescent="0.25">
      <c r="A225" s="46">
        <v>11</v>
      </c>
      <c r="B225" s="130" t="s">
        <v>134</v>
      </c>
      <c r="C225" s="131"/>
      <c r="D225" s="131"/>
      <c r="E225" s="131"/>
      <c r="F225" s="131"/>
      <c r="G225" s="131"/>
      <c r="H225" s="131"/>
      <c r="I225" s="132"/>
    </row>
    <row r="226" spans="1:9" ht="47.25" x14ac:dyDescent="0.25">
      <c r="A226" s="47"/>
      <c r="B226" s="47" t="s">
        <v>210</v>
      </c>
      <c r="C226" s="47" t="s">
        <v>13</v>
      </c>
      <c r="D226" s="60">
        <v>40</v>
      </c>
      <c r="E226" s="60">
        <v>40</v>
      </c>
      <c r="F226" s="60">
        <v>0</v>
      </c>
      <c r="G226" s="60">
        <v>0</v>
      </c>
      <c r="H226" s="16" t="s">
        <v>172</v>
      </c>
      <c r="I226" s="9">
        <f>ROUND(G226/E226,4)</f>
        <v>0</v>
      </c>
    </row>
    <row r="227" spans="1:9" ht="47.25" x14ac:dyDescent="0.25">
      <c r="A227" s="46"/>
      <c r="B227" s="47" t="s">
        <v>110</v>
      </c>
      <c r="C227" s="47" t="s">
        <v>13</v>
      </c>
      <c r="D227" s="7">
        <v>1417.3</v>
      </c>
      <c r="E227" s="7">
        <v>1367</v>
      </c>
      <c r="F227" s="7">
        <v>148.19999999999999</v>
      </c>
      <c r="G227" s="7">
        <v>148.19999999999999</v>
      </c>
      <c r="H227" s="16" t="s">
        <v>172</v>
      </c>
      <c r="I227" s="9">
        <f>G227/D227</f>
        <v>0.10456501799195653</v>
      </c>
    </row>
    <row r="228" spans="1:9" ht="63" x14ac:dyDescent="0.25">
      <c r="A228" s="46"/>
      <c r="B228" s="47" t="s">
        <v>95</v>
      </c>
      <c r="C228" s="47" t="s">
        <v>13</v>
      </c>
      <c r="D228" s="7">
        <v>15597.1</v>
      </c>
      <c r="E228" s="7">
        <v>12399.7</v>
      </c>
      <c r="F228" s="7">
        <v>11599.6</v>
      </c>
      <c r="G228" s="7">
        <v>11599.6</v>
      </c>
      <c r="H228" s="16" t="s">
        <v>172</v>
      </c>
      <c r="I228" s="9">
        <f>G228/D228</f>
        <v>0.74370235492495396</v>
      </c>
    </row>
    <row r="229" spans="1:9" x14ac:dyDescent="0.25">
      <c r="A229" s="147"/>
      <c r="B229" s="106" t="s">
        <v>14</v>
      </c>
      <c r="C229" s="46" t="s">
        <v>16</v>
      </c>
      <c r="D229" s="10">
        <f>D230</f>
        <v>17054.400000000001</v>
      </c>
      <c r="E229" s="10">
        <f t="shared" ref="E229:G229" si="42">E230</f>
        <v>13806.7</v>
      </c>
      <c r="F229" s="10">
        <f t="shared" si="42"/>
        <v>11747.800000000001</v>
      </c>
      <c r="G229" s="10">
        <f t="shared" si="42"/>
        <v>11747.800000000001</v>
      </c>
      <c r="H229" s="16" t="s">
        <v>172</v>
      </c>
      <c r="I229" s="9">
        <f t="shared" ref="I229:I230" si="43">ROUND(G229/E229,4)</f>
        <v>0.85089999999999999</v>
      </c>
    </row>
    <row r="230" spans="1:9" ht="31.5" x14ac:dyDescent="0.25">
      <c r="A230" s="148"/>
      <c r="B230" s="128"/>
      <c r="C230" s="47" t="s">
        <v>13</v>
      </c>
      <c r="D230" s="7">
        <f>D227+D226+D228</f>
        <v>17054.400000000001</v>
      </c>
      <c r="E230" s="7">
        <f t="shared" ref="E230:G230" si="44">E227+E226+E228</f>
        <v>13806.7</v>
      </c>
      <c r="F230" s="7">
        <f t="shared" si="44"/>
        <v>11747.800000000001</v>
      </c>
      <c r="G230" s="7">
        <f t="shared" si="44"/>
        <v>11747.800000000001</v>
      </c>
      <c r="H230" s="16" t="s">
        <v>172</v>
      </c>
      <c r="I230" s="9">
        <f t="shared" si="43"/>
        <v>0.85089999999999999</v>
      </c>
    </row>
    <row r="231" spans="1:9" ht="15.75" customHeight="1" x14ac:dyDescent="0.25">
      <c r="A231" s="1">
        <v>12</v>
      </c>
      <c r="B231" s="150" t="s">
        <v>135</v>
      </c>
      <c r="C231" s="151"/>
      <c r="D231" s="151"/>
      <c r="E231" s="151"/>
      <c r="F231" s="151"/>
      <c r="G231" s="151"/>
      <c r="H231" s="151"/>
      <c r="I231" s="152"/>
    </row>
    <row r="232" spans="1:9" ht="15.75" customHeight="1" x14ac:dyDescent="0.25">
      <c r="A232" s="117" t="s">
        <v>70</v>
      </c>
      <c r="B232" s="118"/>
      <c r="C232" s="118"/>
      <c r="D232" s="118"/>
      <c r="E232" s="118"/>
      <c r="F232" s="118"/>
      <c r="G232" s="118"/>
      <c r="H232" s="118"/>
      <c r="I232" s="119"/>
    </row>
    <row r="233" spans="1:9" ht="63" x14ac:dyDescent="0.25">
      <c r="A233" s="1"/>
      <c r="B233" s="47" t="s">
        <v>22</v>
      </c>
      <c r="C233" s="47" t="s">
        <v>13</v>
      </c>
      <c r="D233" s="32">
        <f>68.7+47.7+97.6</f>
        <v>214</v>
      </c>
      <c r="E233" s="32">
        <f>45.6+47.7+97.6</f>
        <v>190.9</v>
      </c>
      <c r="F233" s="32">
        <f>29+5.7+56.9</f>
        <v>91.6</v>
      </c>
      <c r="G233" s="32">
        <f>29+5.7+56.9</f>
        <v>91.6</v>
      </c>
      <c r="H233" s="16" t="s">
        <v>172</v>
      </c>
      <c r="I233" s="9">
        <f>ROUND(G233/E233,4)</f>
        <v>0.4798</v>
      </c>
    </row>
    <row r="234" spans="1:9" ht="78.75" x14ac:dyDescent="0.25">
      <c r="A234" s="1"/>
      <c r="B234" s="47" t="s">
        <v>23</v>
      </c>
      <c r="C234" s="47" t="s">
        <v>13</v>
      </c>
      <c r="D234" s="32">
        <f>519.8+45</f>
        <v>564.79999999999995</v>
      </c>
      <c r="E234" s="32">
        <f>519.8+45</f>
        <v>564.79999999999995</v>
      </c>
      <c r="F234" s="32">
        <f>233.5+22</f>
        <v>255.5</v>
      </c>
      <c r="G234" s="32">
        <f>233.5+22</f>
        <v>255.5</v>
      </c>
      <c r="H234" s="16" t="s">
        <v>172</v>
      </c>
      <c r="I234" s="9">
        <f>ROUND(G234/E234,4)</f>
        <v>0.45240000000000002</v>
      </c>
    </row>
    <row r="235" spans="1:9" ht="63" x14ac:dyDescent="0.25">
      <c r="A235" s="1"/>
      <c r="B235" s="47" t="s">
        <v>52</v>
      </c>
      <c r="C235" s="47" t="s">
        <v>13</v>
      </c>
      <c r="D235" s="32">
        <f>5.4+5</f>
        <v>10.4</v>
      </c>
      <c r="E235" s="32">
        <f>5.4+5</f>
        <v>10.4</v>
      </c>
      <c r="F235" s="32">
        <v>2.7</v>
      </c>
      <c r="G235" s="32">
        <v>2.7</v>
      </c>
      <c r="H235" s="16" t="s">
        <v>172</v>
      </c>
      <c r="I235" s="9">
        <f>ROUND(G235/E235,4)</f>
        <v>0.2596</v>
      </c>
    </row>
    <row r="236" spans="1:9" ht="31.5" x14ac:dyDescent="0.25">
      <c r="A236" s="1"/>
      <c r="B236" s="46" t="s">
        <v>17</v>
      </c>
      <c r="C236" s="47" t="s">
        <v>13</v>
      </c>
      <c r="D236" s="10">
        <f>D233+D234+D235</f>
        <v>789.19999999999993</v>
      </c>
      <c r="E236" s="10">
        <f>E233+E234+E235</f>
        <v>766.09999999999991</v>
      </c>
      <c r="F236" s="10">
        <f>F233+F234+F235</f>
        <v>349.8</v>
      </c>
      <c r="G236" s="10">
        <f>G233+G234+G235</f>
        <v>349.8</v>
      </c>
      <c r="H236" s="16" t="s">
        <v>172</v>
      </c>
      <c r="I236" s="9">
        <f>ROUND(G236/E236,4)</f>
        <v>0.45660000000000001</v>
      </c>
    </row>
    <row r="237" spans="1:9" ht="15.75" customHeight="1" x14ac:dyDescent="0.25">
      <c r="A237" s="117" t="s">
        <v>71</v>
      </c>
      <c r="B237" s="118"/>
      <c r="C237" s="118"/>
      <c r="D237" s="118"/>
      <c r="E237" s="118"/>
      <c r="F237" s="118"/>
      <c r="G237" s="118"/>
      <c r="H237" s="118"/>
      <c r="I237" s="119"/>
    </row>
    <row r="238" spans="1:9" ht="78.75" x14ac:dyDescent="0.25">
      <c r="A238" s="1"/>
      <c r="B238" s="47" t="s">
        <v>83</v>
      </c>
      <c r="C238" s="47" t="s">
        <v>13</v>
      </c>
      <c r="D238" s="32">
        <f>358.6+95.4</f>
        <v>454</v>
      </c>
      <c r="E238" s="32">
        <f>358.6+95.4</f>
        <v>454</v>
      </c>
      <c r="F238" s="32">
        <v>95.4</v>
      </c>
      <c r="G238" s="32">
        <v>95.4</v>
      </c>
      <c r="H238" s="16" t="s">
        <v>172</v>
      </c>
      <c r="I238" s="9">
        <f>ROUND(G238/E238,4)</f>
        <v>0.21010000000000001</v>
      </c>
    </row>
    <row r="239" spans="1:9" ht="47.25" x14ac:dyDescent="0.25">
      <c r="A239" s="1"/>
      <c r="B239" s="47" t="s">
        <v>163</v>
      </c>
      <c r="C239" s="47" t="s">
        <v>13</v>
      </c>
      <c r="D239" s="32">
        <f>1.4</f>
        <v>1.4</v>
      </c>
      <c r="E239" s="32">
        <v>1.4</v>
      </c>
      <c r="F239" s="32">
        <v>0</v>
      </c>
      <c r="G239" s="32">
        <v>0</v>
      </c>
      <c r="H239" s="16" t="s">
        <v>172</v>
      </c>
      <c r="I239" s="9">
        <f>ROUND(G239/E239,4)</f>
        <v>0</v>
      </c>
    </row>
    <row r="240" spans="1:9" ht="31.5" x14ac:dyDescent="0.25">
      <c r="A240" s="1"/>
      <c r="B240" s="47" t="s">
        <v>57</v>
      </c>
      <c r="C240" s="47" t="s">
        <v>13</v>
      </c>
      <c r="D240" s="32">
        <f>20.7</f>
        <v>20.7</v>
      </c>
      <c r="E240" s="32">
        <f>20.7</f>
        <v>20.7</v>
      </c>
      <c r="F240" s="32">
        <v>20.7</v>
      </c>
      <c r="G240" s="32">
        <v>20.7</v>
      </c>
      <c r="H240" s="16" t="s">
        <v>172</v>
      </c>
      <c r="I240" s="9">
        <f>ROUND(G240/E240,4)</f>
        <v>1</v>
      </c>
    </row>
    <row r="241" spans="1:9" ht="63" x14ac:dyDescent="0.25">
      <c r="A241" s="1"/>
      <c r="B241" s="47" t="s">
        <v>156</v>
      </c>
      <c r="C241" s="47" t="s">
        <v>13</v>
      </c>
      <c r="D241" s="32">
        <v>150</v>
      </c>
      <c r="E241" s="32">
        <v>75</v>
      </c>
      <c r="F241" s="32">
        <v>27.8</v>
      </c>
      <c r="G241" s="32">
        <v>26.2</v>
      </c>
      <c r="H241" s="16" t="s">
        <v>172</v>
      </c>
      <c r="I241" s="9">
        <f>G241/D241</f>
        <v>0.17466666666666666</v>
      </c>
    </row>
    <row r="242" spans="1:9" ht="31.5" x14ac:dyDescent="0.25">
      <c r="A242" s="1"/>
      <c r="B242" s="46" t="s">
        <v>17</v>
      </c>
      <c r="C242" s="46" t="s">
        <v>13</v>
      </c>
      <c r="D242" s="10">
        <f>D238+D239+D240+D241</f>
        <v>626.09999999999991</v>
      </c>
      <c r="E242" s="10">
        <f>E238+E239+E240+E241</f>
        <v>551.09999999999991</v>
      </c>
      <c r="F242" s="10">
        <f>F238+F239+F240+F241</f>
        <v>143.9</v>
      </c>
      <c r="G242" s="10">
        <f>G238+G239+G240+G241</f>
        <v>142.30000000000001</v>
      </c>
      <c r="H242" s="16" t="s">
        <v>172</v>
      </c>
      <c r="I242" s="9">
        <f>G242/D242</f>
        <v>0.22727998722248846</v>
      </c>
    </row>
    <row r="243" spans="1:9" ht="15.75" customHeight="1" x14ac:dyDescent="0.25">
      <c r="A243" s="117" t="s">
        <v>168</v>
      </c>
      <c r="B243" s="118"/>
      <c r="C243" s="118"/>
      <c r="D243" s="118"/>
      <c r="E243" s="118"/>
      <c r="F243" s="118"/>
      <c r="G243" s="118"/>
      <c r="H243" s="118"/>
      <c r="I243" s="119"/>
    </row>
    <row r="244" spans="1:9" ht="78.75" x14ac:dyDescent="0.25">
      <c r="A244" s="1"/>
      <c r="B244" s="47" t="s">
        <v>97</v>
      </c>
      <c r="C244" s="47" t="s">
        <v>13</v>
      </c>
      <c r="D244" s="32">
        <v>20</v>
      </c>
      <c r="E244" s="32">
        <v>10</v>
      </c>
      <c r="F244" s="32">
        <v>10</v>
      </c>
      <c r="G244" s="32">
        <v>10</v>
      </c>
      <c r="H244" s="16" t="s">
        <v>172</v>
      </c>
      <c r="I244" s="9">
        <f>G244/D244</f>
        <v>0.5</v>
      </c>
    </row>
    <row r="245" spans="1:9" ht="78.75" x14ac:dyDescent="0.25">
      <c r="A245" s="1"/>
      <c r="B245" s="47" t="s">
        <v>98</v>
      </c>
      <c r="C245" s="47" t="s">
        <v>13</v>
      </c>
      <c r="D245" s="32">
        <v>27.6</v>
      </c>
      <c r="E245" s="32">
        <v>27.6</v>
      </c>
      <c r="F245" s="32">
        <v>0</v>
      </c>
      <c r="G245" s="32">
        <v>0</v>
      </c>
      <c r="H245" s="16" t="s">
        <v>172</v>
      </c>
      <c r="I245" s="9">
        <f>ROUND(G245/E245,4)</f>
        <v>0</v>
      </c>
    </row>
    <row r="246" spans="1:9" ht="31.5" x14ac:dyDescent="0.25">
      <c r="A246" s="1"/>
      <c r="B246" s="46" t="s">
        <v>17</v>
      </c>
      <c r="C246" s="46" t="s">
        <v>13</v>
      </c>
      <c r="D246" s="10">
        <f>D244+D245</f>
        <v>47.6</v>
      </c>
      <c r="E246" s="10">
        <f>E244+E245</f>
        <v>37.6</v>
      </c>
      <c r="F246" s="10">
        <f>F244+F245</f>
        <v>10</v>
      </c>
      <c r="G246" s="10">
        <f>G244+G245</f>
        <v>10</v>
      </c>
      <c r="H246" s="37" t="s">
        <v>172</v>
      </c>
      <c r="I246" s="12">
        <f>ROUND(G246/E246,4)</f>
        <v>0.26600000000000001</v>
      </c>
    </row>
    <row r="247" spans="1:9" ht="31.5" x14ac:dyDescent="0.25">
      <c r="A247" s="1"/>
      <c r="B247" s="46" t="s">
        <v>14</v>
      </c>
      <c r="C247" s="46" t="s">
        <v>13</v>
      </c>
      <c r="D247" s="10">
        <f>D236+D242+D246</f>
        <v>1462.8999999999996</v>
      </c>
      <c r="E247" s="10">
        <f>E236+E242+E246</f>
        <v>1354.7999999999997</v>
      </c>
      <c r="F247" s="10">
        <f>F236+F242+F246</f>
        <v>503.70000000000005</v>
      </c>
      <c r="G247" s="10">
        <f>G236+G242+G246</f>
        <v>502.1</v>
      </c>
      <c r="H247" s="16" t="s">
        <v>172</v>
      </c>
      <c r="I247" s="9">
        <f>ROUND(G247/E247,4)</f>
        <v>0.37059999999999998</v>
      </c>
    </row>
    <row r="248" spans="1:9" x14ac:dyDescent="0.25">
      <c r="A248" s="1" t="s">
        <v>36</v>
      </c>
      <c r="B248" s="150" t="s">
        <v>136</v>
      </c>
      <c r="C248" s="151"/>
      <c r="D248" s="151"/>
      <c r="E248" s="151"/>
      <c r="F248" s="151"/>
      <c r="G248" s="151"/>
      <c r="H248" s="151"/>
      <c r="I248" s="152"/>
    </row>
    <row r="249" spans="1:9" ht="15.75" customHeight="1" x14ac:dyDescent="0.25">
      <c r="A249" s="117" t="s">
        <v>37</v>
      </c>
      <c r="B249" s="118"/>
      <c r="C249" s="118"/>
      <c r="D249" s="118"/>
      <c r="E249" s="118"/>
      <c r="F249" s="118"/>
      <c r="G249" s="118"/>
      <c r="H249" s="118"/>
      <c r="I249" s="119"/>
    </row>
    <row r="250" spans="1:9" ht="31.5" x14ac:dyDescent="0.25">
      <c r="A250" s="1"/>
      <c r="B250" s="92" t="s">
        <v>38</v>
      </c>
      <c r="C250" s="47" t="s">
        <v>13</v>
      </c>
      <c r="D250" s="33">
        <v>7042.3</v>
      </c>
      <c r="E250" s="33">
        <v>7041.8</v>
      </c>
      <c r="F250" s="33">
        <v>6983.7</v>
      </c>
      <c r="G250" s="33">
        <v>6976.9</v>
      </c>
      <c r="H250" s="16" t="s">
        <v>172</v>
      </c>
      <c r="I250" s="9">
        <f>ROUND(G250/E250,4)</f>
        <v>0.99080000000000001</v>
      </c>
    </row>
    <row r="251" spans="1:9" ht="31.5" x14ac:dyDescent="0.25">
      <c r="A251" s="1"/>
      <c r="B251" s="92" t="s">
        <v>174</v>
      </c>
      <c r="C251" s="47" t="s">
        <v>13</v>
      </c>
      <c r="D251" s="33">
        <v>220</v>
      </c>
      <c r="E251" s="33">
        <v>160</v>
      </c>
      <c r="F251" s="33">
        <v>71.5</v>
      </c>
      <c r="G251" s="33">
        <v>71.5</v>
      </c>
      <c r="H251" s="34" t="s">
        <v>172</v>
      </c>
      <c r="I251" s="20">
        <f>ROUND(G251/E251,4)</f>
        <v>0.44690000000000002</v>
      </c>
    </row>
    <row r="252" spans="1:9" ht="47.25" x14ac:dyDescent="0.25">
      <c r="A252" s="1"/>
      <c r="B252" s="92" t="s">
        <v>39</v>
      </c>
      <c r="C252" s="47" t="s">
        <v>13</v>
      </c>
      <c r="D252" s="33">
        <v>138254.79999999999</v>
      </c>
      <c r="E252" s="33">
        <v>138252.29999999999</v>
      </c>
      <c r="F252" s="33">
        <v>133286.39999999999</v>
      </c>
      <c r="G252" s="33">
        <v>131381</v>
      </c>
      <c r="H252" s="16" t="s">
        <v>172</v>
      </c>
      <c r="I252" s="9">
        <f>ROUND(G252/E252,4)</f>
        <v>0.95030000000000003</v>
      </c>
    </row>
    <row r="253" spans="1:9" ht="78.75" x14ac:dyDescent="0.25">
      <c r="A253" s="1"/>
      <c r="B253" s="92" t="s">
        <v>25</v>
      </c>
      <c r="C253" s="47" t="s">
        <v>13</v>
      </c>
      <c r="D253" s="33">
        <v>2403</v>
      </c>
      <c r="E253" s="33">
        <v>2393.3000000000002</v>
      </c>
      <c r="F253" s="33">
        <v>2189.8000000000002</v>
      </c>
      <c r="G253" s="33">
        <v>2189.8000000000002</v>
      </c>
      <c r="H253" s="16" t="s">
        <v>172</v>
      </c>
      <c r="I253" s="9">
        <f t="shared" ref="I253:I271" si="45">ROUND(G253/E253,4)</f>
        <v>0.91500000000000004</v>
      </c>
    </row>
    <row r="254" spans="1:9" ht="94.5" x14ac:dyDescent="0.25">
      <c r="A254" s="1"/>
      <c r="B254" s="92" t="s">
        <v>124</v>
      </c>
      <c r="C254" s="47" t="s">
        <v>13</v>
      </c>
      <c r="D254" s="33">
        <v>0</v>
      </c>
      <c r="E254" s="33">
        <v>0</v>
      </c>
      <c r="F254" s="33">
        <v>0</v>
      </c>
      <c r="G254" s="33">
        <v>0</v>
      </c>
      <c r="H254" s="35" t="s">
        <v>172</v>
      </c>
      <c r="I254" s="22">
        <v>0</v>
      </c>
    </row>
    <row r="255" spans="1:9" ht="63" x14ac:dyDescent="0.25">
      <c r="A255" s="1"/>
      <c r="B255" s="92" t="s">
        <v>137</v>
      </c>
      <c r="C255" s="47" t="s">
        <v>15</v>
      </c>
      <c r="D255" s="33">
        <v>7.43</v>
      </c>
      <c r="E255" s="33">
        <v>7.43</v>
      </c>
      <c r="F255" s="33">
        <v>7.4</v>
      </c>
      <c r="G255" s="33">
        <v>7.4</v>
      </c>
      <c r="H255" s="36" t="s">
        <v>172</v>
      </c>
      <c r="I255" s="20">
        <v>1</v>
      </c>
    </row>
    <row r="256" spans="1:9" ht="31.5" x14ac:dyDescent="0.25">
      <c r="A256" s="1"/>
      <c r="B256" s="166" t="s">
        <v>58</v>
      </c>
      <c r="C256" s="47" t="s">
        <v>13</v>
      </c>
      <c r="D256" s="7">
        <v>4519</v>
      </c>
      <c r="E256" s="7">
        <v>3269</v>
      </c>
      <c r="F256" s="7">
        <v>2154.8000000000002</v>
      </c>
      <c r="G256" s="7">
        <v>2154.6999999999998</v>
      </c>
      <c r="H256" s="34" t="s">
        <v>172</v>
      </c>
      <c r="I256" s="20">
        <f>ROUND(G256/E256,4)</f>
        <v>0.65910000000000002</v>
      </c>
    </row>
    <row r="257" spans="1:9" ht="47.25" x14ac:dyDescent="0.25">
      <c r="A257" s="1"/>
      <c r="B257" s="92" t="s">
        <v>59</v>
      </c>
      <c r="C257" s="47" t="s">
        <v>13</v>
      </c>
      <c r="D257" s="33">
        <v>621</v>
      </c>
      <c r="E257" s="33">
        <v>621</v>
      </c>
      <c r="F257" s="33">
        <v>580.29999999999995</v>
      </c>
      <c r="G257" s="33">
        <v>574.70000000000005</v>
      </c>
      <c r="H257" s="34" t="s">
        <v>172</v>
      </c>
      <c r="I257" s="20">
        <f t="shared" si="45"/>
        <v>0.9254</v>
      </c>
    </row>
    <row r="258" spans="1:9" ht="31.5" x14ac:dyDescent="0.25">
      <c r="A258" s="1"/>
      <c r="B258" s="92" t="s">
        <v>60</v>
      </c>
      <c r="C258" s="47" t="s">
        <v>13</v>
      </c>
      <c r="D258" s="33">
        <v>240</v>
      </c>
      <c r="E258" s="33">
        <v>230</v>
      </c>
      <c r="F258" s="33">
        <v>230</v>
      </c>
      <c r="G258" s="33">
        <v>230</v>
      </c>
      <c r="H258" s="34" t="s">
        <v>172</v>
      </c>
      <c r="I258" s="20">
        <f>ROUND(G258/E258,4)</f>
        <v>1</v>
      </c>
    </row>
    <row r="259" spans="1:9" ht="126" x14ac:dyDescent="0.25">
      <c r="A259" s="1"/>
      <c r="B259" s="166" t="s">
        <v>175</v>
      </c>
      <c r="C259" s="47" t="s">
        <v>15</v>
      </c>
      <c r="D259" s="7">
        <v>10632.66</v>
      </c>
      <c r="E259" s="7">
        <v>10632.66</v>
      </c>
      <c r="F259" s="33">
        <v>10585.3</v>
      </c>
      <c r="G259" s="33">
        <v>10571.1</v>
      </c>
      <c r="H259" s="34" t="s">
        <v>172</v>
      </c>
      <c r="I259" s="20">
        <f t="shared" si="45"/>
        <v>0.99419999999999997</v>
      </c>
    </row>
    <row r="260" spans="1:9" ht="126" x14ac:dyDescent="0.25">
      <c r="A260" s="1"/>
      <c r="B260" s="166" t="s">
        <v>176</v>
      </c>
      <c r="C260" s="47" t="s">
        <v>15</v>
      </c>
      <c r="D260" s="7">
        <v>1559.9</v>
      </c>
      <c r="E260" s="7">
        <v>1559.9</v>
      </c>
      <c r="F260" s="33">
        <v>1556.3</v>
      </c>
      <c r="G260" s="33">
        <v>1551.9</v>
      </c>
      <c r="H260" s="16" t="s">
        <v>172</v>
      </c>
      <c r="I260" s="9">
        <f t="shared" si="45"/>
        <v>0.99490000000000001</v>
      </c>
    </row>
    <row r="261" spans="1:9" ht="141.75" x14ac:dyDescent="0.25">
      <c r="A261" s="1"/>
      <c r="B261" s="166" t="s">
        <v>177</v>
      </c>
      <c r="C261" s="47" t="s">
        <v>15</v>
      </c>
      <c r="D261" s="7">
        <v>6</v>
      </c>
      <c r="E261" s="7">
        <v>6</v>
      </c>
      <c r="F261" s="33">
        <v>5.6</v>
      </c>
      <c r="G261" s="33">
        <v>5.6</v>
      </c>
      <c r="H261" s="16" t="s">
        <v>172</v>
      </c>
      <c r="I261" s="22">
        <f t="shared" si="45"/>
        <v>0.93330000000000002</v>
      </c>
    </row>
    <row r="262" spans="1:9" ht="47.25" x14ac:dyDescent="0.25">
      <c r="A262" s="1"/>
      <c r="B262" s="166" t="s">
        <v>178</v>
      </c>
      <c r="C262" s="47" t="s">
        <v>15</v>
      </c>
      <c r="D262" s="7">
        <v>898.48</v>
      </c>
      <c r="E262" s="7">
        <v>898.48</v>
      </c>
      <c r="F262" s="33">
        <v>898.5</v>
      </c>
      <c r="G262" s="33">
        <v>898.5</v>
      </c>
      <c r="H262" s="16" t="s">
        <v>172</v>
      </c>
      <c r="I262" s="22">
        <f t="shared" si="45"/>
        <v>1</v>
      </c>
    </row>
    <row r="263" spans="1:9" ht="63" x14ac:dyDescent="0.25">
      <c r="A263" s="1"/>
      <c r="B263" s="166" t="s">
        <v>179</v>
      </c>
      <c r="C263" s="47" t="s">
        <v>15</v>
      </c>
      <c r="D263" s="7">
        <v>3037.9</v>
      </c>
      <c r="E263" s="7">
        <v>3037.9</v>
      </c>
      <c r="F263" s="33">
        <v>3018.7</v>
      </c>
      <c r="G263" s="33">
        <v>3018.5</v>
      </c>
      <c r="H263" s="34" t="s">
        <v>172</v>
      </c>
      <c r="I263" s="18">
        <f t="shared" si="45"/>
        <v>0.99360000000000004</v>
      </c>
    </row>
    <row r="264" spans="1:9" ht="47.25" x14ac:dyDescent="0.25">
      <c r="A264" s="1"/>
      <c r="B264" s="166" t="s">
        <v>162</v>
      </c>
      <c r="C264" s="47" t="s">
        <v>15</v>
      </c>
      <c r="D264" s="7">
        <v>3813.7</v>
      </c>
      <c r="E264" s="7">
        <v>3813.67</v>
      </c>
      <c r="F264" s="7">
        <v>3632.3</v>
      </c>
      <c r="G264" s="7">
        <v>3632.3</v>
      </c>
      <c r="H264" s="34" t="s">
        <v>172</v>
      </c>
      <c r="I264" s="20">
        <f t="shared" si="45"/>
        <v>0.95240000000000002</v>
      </c>
    </row>
    <row r="265" spans="1:9" ht="68.25" customHeight="1" x14ac:dyDescent="0.25">
      <c r="A265" s="1"/>
      <c r="B265" s="92" t="s">
        <v>40</v>
      </c>
      <c r="C265" s="47" t="s">
        <v>13</v>
      </c>
      <c r="D265" s="33">
        <v>791</v>
      </c>
      <c r="E265" s="33">
        <v>791</v>
      </c>
      <c r="F265" s="33">
        <v>0</v>
      </c>
      <c r="G265" s="33">
        <v>0</v>
      </c>
      <c r="H265" s="16" t="s">
        <v>172</v>
      </c>
      <c r="I265" s="9">
        <f t="shared" si="45"/>
        <v>0</v>
      </c>
    </row>
    <row r="266" spans="1:9" ht="63" x14ac:dyDescent="0.25">
      <c r="A266" s="1"/>
      <c r="B266" s="92" t="s">
        <v>180</v>
      </c>
      <c r="C266" s="47" t="s">
        <v>13</v>
      </c>
      <c r="D266" s="33">
        <v>0</v>
      </c>
      <c r="E266" s="33">
        <v>0</v>
      </c>
      <c r="F266" s="33">
        <v>0</v>
      </c>
      <c r="G266" s="33">
        <v>0</v>
      </c>
      <c r="H266" s="16" t="s">
        <v>172</v>
      </c>
      <c r="I266" s="91">
        <v>0</v>
      </c>
    </row>
    <row r="267" spans="1:9" ht="78.75" x14ac:dyDescent="0.25">
      <c r="A267" s="1"/>
      <c r="B267" s="92" t="s">
        <v>188</v>
      </c>
      <c r="C267" s="47" t="s">
        <v>13</v>
      </c>
      <c r="D267" s="33">
        <v>0</v>
      </c>
      <c r="E267" s="33">
        <v>0</v>
      </c>
      <c r="F267" s="33">
        <v>0</v>
      </c>
      <c r="G267" s="33">
        <v>0</v>
      </c>
      <c r="H267" s="16" t="s">
        <v>172</v>
      </c>
      <c r="I267" s="9">
        <v>0</v>
      </c>
    </row>
    <row r="268" spans="1:9" ht="63" x14ac:dyDescent="0.25">
      <c r="A268" s="1"/>
      <c r="B268" s="92" t="s">
        <v>156</v>
      </c>
      <c r="C268" s="47" t="s">
        <v>13</v>
      </c>
      <c r="D268" s="33">
        <v>0</v>
      </c>
      <c r="E268" s="33">
        <v>0</v>
      </c>
      <c r="F268" s="33">
        <v>0</v>
      </c>
      <c r="G268" s="33">
        <v>0</v>
      </c>
      <c r="H268" s="16" t="s">
        <v>172</v>
      </c>
      <c r="I268" s="9">
        <v>0</v>
      </c>
    </row>
    <row r="269" spans="1:9" ht="78.75" x14ac:dyDescent="0.25">
      <c r="A269" s="1"/>
      <c r="B269" s="92" t="s">
        <v>181</v>
      </c>
      <c r="C269" s="47" t="s">
        <v>13</v>
      </c>
      <c r="D269" s="33">
        <v>63.4</v>
      </c>
      <c r="E269" s="33">
        <v>63.4</v>
      </c>
      <c r="F269" s="33">
        <v>63.4</v>
      </c>
      <c r="G269" s="33">
        <v>63.4</v>
      </c>
      <c r="H269" s="34" t="s">
        <v>172</v>
      </c>
      <c r="I269" s="20">
        <f t="shared" si="45"/>
        <v>1</v>
      </c>
    </row>
    <row r="270" spans="1:9" ht="63" x14ac:dyDescent="0.25">
      <c r="A270" s="1"/>
      <c r="B270" s="92" t="s">
        <v>72</v>
      </c>
      <c r="C270" s="47" t="s">
        <v>15</v>
      </c>
      <c r="D270" s="33">
        <v>30.7</v>
      </c>
      <c r="E270" s="33">
        <v>30.7</v>
      </c>
      <c r="F270" s="33">
        <v>14</v>
      </c>
      <c r="G270" s="33">
        <v>14</v>
      </c>
      <c r="H270" s="34" t="s">
        <v>172</v>
      </c>
      <c r="I270" s="20">
        <f t="shared" si="45"/>
        <v>0.45600000000000002</v>
      </c>
    </row>
    <row r="271" spans="1:9" ht="94.5" x14ac:dyDescent="0.25">
      <c r="A271" s="1"/>
      <c r="B271" s="92" t="s">
        <v>232</v>
      </c>
      <c r="C271" s="47" t="s">
        <v>15</v>
      </c>
      <c r="D271" s="33">
        <v>150</v>
      </c>
      <c r="E271" s="33">
        <v>150</v>
      </c>
      <c r="F271" s="33">
        <v>150</v>
      </c>
      <c r="G271" s="33">
        <v>135.19999999999999</v>
      </c>
      <c r="H271" s="34" t="s">
        <v>172</v>
      </c>
      <c r="I271" s="20">
        <f t="shared" si="45"/>
        <v>0.90129999999999999</v>
      </c>
    </row>
    <row r="272" spans="1:9" ht="126" x14ac:dyDescent="0.25">
      <c r="A272" s="1"/>
      <c r="B272" s="92" t="s">
        <v>41</v>
      </c>
      <c r="C272" s="47" t="s">
        <v>15</v>
      </c>
      <c r="D272" s="33">
        <v>11.99</v>
      </c>
      <c r="E272" s="33">
        <v>11.99</v>
      </c>
      <c r="F272" s="33">
        <v>12</v>
      </c>
      <c r="G272" s="33">
        <v>12</v>
      </c>
      <c r="H272" s="16" t="s">
        <v>172</v>
      </c>
      <c r="I272" s="20">
        <v>1</v>
      </c>
    </row>
    <row r="273" spans="1:12" ht="126" x14ac:dyDescent="0.25">
      <c r="A273" s="1"/>
      <c r="B273" s="92" t="s">
        <v>182</v>
      </c>
      <c r="C273" s="47" t="s">
        <v>13</v>
      </c>
      <c r="D273" s="33">
        <v>16.3</v>
      </c>
      <c r="E273" s="33">
        <v>0</v>
      </c>
      <c r="F273" s="33">
        <v>0</v>
      </c>
      <c r="G273" s="33">
        <v>0</v>
      </c>
      <c r="H273" s="16" t="s">
        <v>172</v>
      </c>
      <c r="I273" s="20">
        <f>0%</f>
        <v>0</v>
      </c>
    </row>
    <row r="274" spans="1:12" ht="63" x14ac:dyDescent="0.25">
      <c r="A274" s="1"/>
      <c r="B274" s="92" t="s">
        <v>183</v>
      </c>
      <c r="C274" s="47" t="s">
        <v>47</v>
      </c>
      <c r="D274" s="33">
        <v>1405.83</v>
      </c>
      <c r="E274" s="33">
        <v>1405.83</v>
      </c>
      <c r="F274" s="33">
        <v>1405.8</v>
      </c>
      <c r="G274" s="33">
        <v>1405.8</v>
      </c>
      <c r="H274" s="16" t="s">
        <v>172</v>
      </c>
      <c r="I274" s="20">
        <f t="shared" ref="I274" si="46">ROUND(G274/E274,4)</f>
        <v>1</v>
      </c>
    </row>
    <row r="275" spans="1:12" ht="78.75" x14ac:dyDescent="0.25">
      <c r="A275" s="1"/>
      <c r="B275" s="92" t="s">
        <v>184</v>
      </c>
      <c r="C275" s="47" t="s">
        <v>13</v>
      </c>
      <c r="D275" s="33">
        <v>0</v>
      </c>
      <c r="E275" s="33">
        <v>0</v>
      </c>
      <c r="F275" s="33">
        <v>0</v>
      </c>
      <c r="G275" s="33">
        <v>0</v>
      </c>
      <c r="H275" s="16" t="s">
        <v>172</v>
      </c>
      <c r="I275" s="20">
        <v>0</v>
      </c>
    </row>
    <row r="276" spans="1:12" ht="78.75" x14ac:dyDescent="0.25">
      <c r="A276" s="1"/>
      <c r="B276" s="92" t="s">
        <v>251</v>
      </c>
      <c r="C276" s="47" t="s">
        <v>13</v>
      </c>
      <c r="D276" s="33">
        <v>11.7</v>
      </c>
      <c r="E276" s="33">
        <v>11.7</v>
      </c>
      <c r="F276" s="33">
        <v>5.3</v>
      </c>
      <c r="G276" s="33">
        <v>5.3</v>
      </c>
      <c r="H276" s="16" t="s">
        <v>172</v>
      </c>
      <c r="I276" s="20">
        <f t="shared" ref="I276:I286" si="47">ROUND(G276/E276,4)</f>
        <v>0.45300000000000001</v>
      </c>
    </row>
    <row r="277" spans="1:12" ht="78.75" x14ac:dyDescent="0.25">
      <c r="A277" s="1"/>
      <c r="B277" s="92" t="s">
        <v>161</v>
      </c>
      <c r="C277" s="47" t="s">
        <v>15</v>
      </c>
      <c r="D277" s="33">
        <v>38.520000000000003</v>
      </c>
      <c r="E277" s="33">
        <v>38.520000000000003</v>
      </c>
      <c r="F277" s="33">
        <v>38.5</v>
      </c>
      <c r="G277" s="33">
        <v>38.5</v>
      </c>
      <c r="H277" s="16" t="s">
        <v>172</v>
      </c>
      <c r="I277" s="20">
        <f t="shared" si="47"/>
        <v>0.99950000000000006</v>
      </c>
    </row>
    <row r="278" spans="1:12" ht="63" x14ac:dyDescent="0.25">
      <c r="A278" s="1"/>
      <c r="B278" s="92" t="s">
        <v>185</v>
      </c>
      <c r="C278" s="47" t="s">
        <v>13</v>
      </c>
      <c r="D278" s="33">
        <v>2434</v>
      </c>
      <c r="E278" s="33">
        <v>2434</v>
      </c>
      <c r="F278" s="33">
        <v>2245.1999999999998</v>
      </c>
      <c r="G278" s="33">
        <v>2234.9</v>
      </c>
      <c r="H278" s="34" t="s">
        <v>172</v>
      </c>
      <c r="I278" s="20">
        <f t="shared" si="47"/>
        <v>0.91820000000000002</v>
      </c>
    </row>
    <row r="279" spans="1:12" ht="126" x14ac:dyDescent="0.25">
      <c r="A279" s="1"/>
      <c r="B279" s="166" t="s">
        <v>186</v>
      </c>
      <c r="C279" s="47" t="s">
        <v>13</v>
      </c>
      <c r="D279" s="7">
        <v>4284</v>
      </c>
      <c r="E279" s="7">
        <v>4284</v>
      </c>
      <c r="F279" s="7">
        <v>4133.1000000000004</v>
      </c>
      <c r="G279" s="7">
        <v>4122.3</v>
      </c>
      <c r="H279" s="16" t="s">
        <v>172</v>
      </c>
      <c r="I279" s="9">
        <f t="shared" si="47"/>
        <v>0.96230000000000004</v>
      </c>
    </row>
    <row r="280" spans="1:12" ht="157.5" x14ac:dyDescent="0.25">
      <c r="A280" s="90"/>
      <c r="B280" s="167" t="s">
        <v>252</v>
      </c>
      <c r="C280" s="88" t="s">
        <v>13</v>
      </c>
      <c r="D280" s="13">
        <v>909.5</v>
      </c>
      <c r="E280" s="13">
        <v>909.5</v>
      </c>
      <c r="F280" s="13">
        <v>909.1</v>
      </c>
      <c r="G280" s="13">
        <v>909.1</v>
      </c>
      <c r="H280" s="34" t="s">
        <v>172</v>
      </c>
      <c r="I280" s="20">
        <f t="shared" si="47"/>
        <v>0.99960000000000004</v>
      </c>
    </row>
    <row r="281" spans="1:12" ht="31.5" x14ac:dyDescent="0.25">
      <c r="A281" s="57"/>
      <c r="B281" s="178" t="s">
        <v>187</v>
      </c>
      <c r="C281" s="48" t="s">
        <v>13</v>
      </c>
      <c r="D281" s="14">
        <v>0</v>
      </c>
      <c r="E281" s="14">
        <v>0</v>
      </c>
      <c r="F281" s="14">
        <v>0</v>
      </c>
      <c r="G281" s="14">
        <v>0</v>
      </c>
      <c r="H281" s="34" t="s">
        <v>172</v>
      </c>
      <c r="I281" s="20">
        <v>0</v>
      </c>
    </row>
    <row r="282" spans="1:12" ht="267.75" x14ac:dyDescent="0.25">
      <c r="A282" s="103"/>
      <c r="B282" s="166" t="s">
        <v>256</v>
      </c>
      <c r="C282" s="30" t="s">
        <v>15</v>
      </c>
      <c r="D282" s="14">
        <v>299.5</v>
      </c>
      <c r="E282" s="14">
        <v>299.5</v>
      </c>
      <c r="F282" s="14">
        <v>299.5</v>
      </c>
      <c r="G282" s="14">
        <v>243</v>
      </c>
      <c r="H282" s="34" t="s">
        <v>172</v>
      </c>
      <c r="I282" s="97">
        <f>ROUND(G282/E282,4)</f>
        <v>0.81140000000000001</v>
      </c>
    </row>
    <row r="283" spans="1:12" x14ac:dyDescent="0.25">
      <c r="A283" s="124"/>
      <c r="B283" s="125" t="s">
        <v>17</v>
      </c>
      <c r="C283" s="38" t="s">
        <v>16</v>
      </c>
      <c r="D283" s="39">
        <f>D284+D285+D286</f>
        <v>183702.60999999996</v>
      </c>
      <c r="E283" s="39">
        <f>E284+E285+E286</f>
        <v>182353.57999999996</v>
      </c>
      <c r="F283" s="39">
        <f>F284+F285+F286</f>
        <v>174476.6</v>
      </c>
      <c r="G283" s="39">
        <f>G284+G285+G286</f>
        <v>172447.5</v>
      </c>
      <c r="H283" s="96" t="s">
        <v>172</v>
      </c>
      <c r="I283" s="97">
        <f>ROUND(G283/E283,4)</f>
        <v>0.94569999999999999</v>
      </c>
      <c r="K283" s="81"/>
    </row>
    <row r="284" spans="1:12" ht="31.5" x14ac:dyDescent="0.25">
      <c r="A284" s="124"/>
      <c r="B284" s="126"/>
      <c r="C284" s="30" t="s">
        <v>13</v>
      </c>
      <c r="D284" s="33">
        <f>D281+D279+D278+D276+D275+D273+D269+D268+D266+D265+D258+D257+D256+D254+D253+D252+D251+D250+D267+D280</f>
        <v>161809.99999999997</v>
      </c>
      <c r="E284" s="33">
        <f t="shared" ref="E284" si="48">E281+E279+E278+E276+E275+E273+E269+E268+E266+E265+E258+E257+E256+E254+E253+E252+E251+E250+E267+E280</f>
        <v>160460.99999999997</v>
      </c>
      <c r="F284" s="33">
        <f>F281+F279+F278+F276+F275+F273+F269+F268+F266+F265+F258+F257+F256+F254+F253+F252+F251+F250+F267+F280+0.1</f>
        <v>152852.70000000001</v>
      </c>
      <c r="G284" s="33">
        <f>G281+G279+G278+G276+G275+G273+G269+G268+G266+G265+G258+G257+G256+G254+G253+G252+G251+G250+G267+G280+0.1</f>
        <v>150913.70000000001</v>
      </c>
      <c r="H284" s="96" t="s">
        <v>172</v>
      </c>
      <c r="I284" s="97">
        <f t="shared" si="47"/>
        <v>0.9405</v>
      </c>
    </row>
    <row r="285" spans="1:12" ht="31.5" x14ac:dyDescent="0.25">
      <c r="A285" s="124"/>
      <c r="B285" s="126"/>
      <c r="C285" s="30" t="s">
        <v>47</v>
      </c>
      <c r="D285" s="33">
        <f>D274</f>
        <v>1405.83</v>
      </c>
      <c r="E285" s="33">
        <f>E274</f>
        <v>1405.83</v>
      </c>
      <c r="F285" s="33">
        <f t="shared" ref="F285:G285" si="49">F274</f>
        <v>1405.8</v>
      </c>
      <c r="G285" s="33">
        <f t="shared" si="49"/>
        <v>1405.8</v>
      </c>
      <c r="H285" s="96" t="s">
        <v>172</v>
      </c>
      <c r="I285" s="97">
        <f t="shared" si="47"/>
        <v>1</v>
      </c>
      <c r="L285" s="81"/>
    </row>
    <row r="286" spans="1:12" ht="47.25" x14ac:dyDescent="0.25">
      <c r="A286" s="124"/>
      <c r="B286" s="126"/>
      <c r="C286" s="30" t="s">
        <v>15</v>
      </c>
      <c r="D286" s="93">
        <f>D277+D272+D270+D264+D263+D262+D261+D260+D259+D255+D271+D282</f>
        <v>20486.78</v>
      </c>
      <c r="E286" s="93">
        <f>E277+E272+E270+E264+E263+E262+E261+E260+E259+E255+E271+E282</f>
        <v>20486.75</v>
      </c>
      <c r="F286" s="93">
        <f t="shared" ref="F286:G286" si="50">F277+F272+F270+F264+F263+F262+F261+F260+F259+F255+F271+F282</f>
        <v>20218.099999999999</v>
      </c>
      <c r="G286" s="93">
        <f t="shared" si="50"/>
        <v>20128.000000000004</v>
      </c>
      <c r="H286" s="98" t="s">
        <v>172</v>
      </c>
      <c r="I286" s="99">
        <f t="shared" si="47"/>
        <v>0.98250000000000004</v>
      </c>
      <c r="J286" s="2" t="s">
        <v>46</v>
      </c>
    </row>
    <row r="287" spans="1:12" x14ac:dyDescent="0.25">
      <c r="A287" s="117" t="s">
        <v>42</v>
      </c>
      <c r="B287" s="118"/>
      <c r="C287" s="118"/>
      <c r="D287" s="118"/>
      <c r="E287" s="118"/>
      <c r="F287" s="118"/>
      <c r="G287" s="118"/>
      <c r="H287" s="118"/>
      <c r="I287" s="119"/>
    </row>
    <row r="288" spans="1:12" ht="78.75" x14ac:dyDescent="0.25">
      <c r="A288" s="1"/>
      <c r="B288" s="92" t="s">
        <v>25</v>
      </c>
      <c r="C288" s="47" t="s">
        <v>13</v>
      </c>
      <c r="D288" s="7">
        <f>51+36.5+1340+1262.2+215</f>
        <v>2904.7</v>
      </c>
      <c r="E288" s="7">
        <f>51+36.5+1340+1262.2+174.9</f>
        <v>2864.6</v>
      </c>
      <c r="F288" s="7">
        <f>50.4+36.5+1000+1000+161.9</f>
        <v>2248.8000000000002</v>
      </c>
      <c r="G288" s="7">
        <f>50.4+36.5+1000+955.1+161.9</f>
        <v>2203.9</v>
      </c>
      <c r="H288" s="16" t="s">
        <v>172</v>
      </c>
      <c r="I288" s="9">
        <f>ROUND(G288/E288,4)</f>
        <v>0.76939999999999997</v>
      </c>
    </row>
    <row r="289" spans="1:11" ht="31.5" x14ac:dyDescent="0.25">
      <c r="A289" s="1"/>
      <c r="B289" s="166" t="s">
        <v>43</v>
      </c>
      <c r="C289" s="47" t="s">
        <v>13</v>
      </c>
      <c r="D289" s="7">
        <v>6144.2</v>
      </c>
      <c r="E289" s="7">
        <v>6137.4</v>
      </c>
      <c r="F289" s="7">
        <v>5960.5</v>
      </c>
      <c r="G289" s="7">
        <v>5959.9</v>
      </c>
      <c r="H289" s="16" t="s">
        <v>172</v>
      </c>
      <c r="I289" s="9">
        <f t="shared" ref="I289:I330" si="51">ROUND(G289/E289,4)</f>
        <v>0.97109999999999996</v>
      </c>
    </row>
    <row r="290" spans="1:11" ht="31.5" x14ac:dyDescent="0.25">
      <c r="A290" s="1"/>
      <c r="B290" s="166" t="s">
        <v>146</v>
      </c>
      <c r="C290" s="47" t="s">
        <v>13</v>
      </c>
      <c r="D290" s="7">
        <v>9067</v>
      </c>
      <c r="E290" s="7">
        <v>9067</v>
      </c>
      <c r="F290" s="7">
        <v>8167.2</v>
      </c>
      <c r="G290" s="7">
        <v>8167.2</v>
      </c>
      <c r="H290" s="16" t="s">
        <v>172</v>
      </c>
      <c r="I290" s="9">
        <f t="shared" si="51"/>
        <v>0.90080000000000005</v>
      </c>
      <c r="K290" s="81"/>
    </row>
    <row r="291" spans="1:11" ht="63" x14ac:dyDescent="0.25">
      <c r="A291" s="1"/>
      <c r="B291" s="166" t="s">
        <v>44</v>
      </c>
      <c r="C291" s="47" t="s">
        <v>13</v>
      </c>
      <c r="D291" s="7">
        <v>83703.100000000006</v>
      </c>
      <c r="E291" s="7">
        <v>81892.100000000006</v>
      </c>
      <c r="F291" s="7">
        <v>81290.600000000006</v>
      </c>
      <c r="G291" s="7">
        <v>81290.600000000006</v>
      </c>
      <c r="H291" s="16" t="s">
        <v>172</v>
      </c>
      <c r="I291" s="9">
        <f>G291/D291</f>
        <v>0.97117788946884887</v>
      </c>
    </row>
    <row r="292" spans="1:11" ht="47.25" x14ac:dyDescent="0.25">
      <c r="A292" s="1"/>
      <c r="B292" s="166" t="s">
        <v>197</v>
      </c>
      <c r="C292" s="47" t="s">
        <v>13</v>
      </c>
      <c r="D292" s="7">
        <v>125692.9</v>
      </c>
      <c r="E292" s="7">
        <v>125611.2</v>
      </c>
      <c r="F292" s="7">
        <v>116572.2</v>
      </c>
      <c r="G292" s="7">
        <v>115422.3</v>
      </c>
      <c r="H292" s="16" t="s">
        <v>172</v>
      </c>
      <c r="I292" s="9">
        <f t="shared" si="51"/>
        <v>0.91890000000000005</v>
      </c>
    </row>
    <row r="293" spans="1:11" ht="157.5" x14ac:dyDescent="0.25">
      <c r="A293" s="1"/>
      <c r="B293" s="166" t="s">
        <v>198</v>
      </c>
      <c r="C293" s="47" t="s">
        <v>15</v>
      </c>
      <c r="D293" s="7">
        <v>244.9</v>
      </c>
      <c r="E293" s="7">
        <v>244.9</v>
      </c>
      <c r="F293" s="7">
        <v>216.5</v>
      </c>
      <c r="G293" s="7">
        <v>216.5</v>
      </c>
      <c r="H293" s="16" t="s">
        <v>172</v>
      </c>
      <c r="I293" s="9">
        <f t="shared" si="51"/>
        <v>0.88400000000000001</v>
      </c>
    </row>
    <row r="294" spans="1:11" ht="78.75" x14ac:dyDescent="0.25">
      <c r="A294" s="1"/>
      <c r="B294" s="166" t="s">
        <v>87</v>
      </c>
      <c r="C294" s="47" t="s">
        <v>47</v>
      </c>
      <c r="D294" s="7">
        <v>30</v>
      </c>
      <c r="E294" s="7">
        <v>30</v>
      </c>
      <c r="F294" s="7">
        <v>30</v>
      </c>
      <c r="G294" s="7">
        <v>30</v>
      </c>
      <c r="H294" s="16" t="s">
        <v>172</v>
      </c>
      <c r="I294" s="9">
        <f t="shared" si="51"/>
        <v>1</v>
      </c>
    </row>
    <row r="295" spans="1:11" ht="110.25" x14ac:dyDescent="0.25">
      <c r="A295" s="1"/>
      <c r="B295" s="166" t="s">
        <v>93</v>
      </c>
      <c r="C295" s="47" t="s">
        <v>15</v>
      </c>
      <c r="D295" s="7">
        <v>97</v>
      </c>
      <c r="E295" s="7">
        <v>97</v>
      </c>
      <c r="F295" s="7">
        <v>97</v>
      </c>
      <c r="G295" s="7">
        <v>97</v>
      </c>
      <c r="H295" s="16" t="s">
        <v>172</v>
      </c>
      <c r="I295" s="9">
        <f t="shared" si="51"/>
        <v>1</v>
      </c>
    </row>
    <row r="296" spans="1:11" ht="31.5" x14ac:dyDescent="0.25">
      <c r="A296" s="1"/>
      <c r="B296" s="166" t="s">
        <v>123</v>
      </c>
      <c r="C296" s="47" t="s">
        <v>13</v>
      </c>
      <c r="D296" s="7">
        <v>19089.599999999999</v>
      </c>
      <c r="E296" s="7">
        <v>19077.3</v>
      </c>
      <c r="F296" s="7">
        <v>18287.599999999999</v>
      </c>
      <c r="G296" s="7">
        <v>18275.5</v>
      </c>
      <c r="H296" s="16" t="s">
        <v>172</v>
      </c>
      <c r="I296" s="9">
        <f t="shared" si="51"/>
        <v>0.95799999999999996</v>
      </c>
    </row>
    <row r="297" spans="1:11" ht="31.5" x14ac:dyDescent="0.25">
      <c r="A297" s="1"/>
      <c r="B297" s="166" t="s">
        <v>138</v>
      </c>
      <c r="C297" s="47" t="s">
        <v>47</v>
      </c>
      <c r="D297" s="7">
        <v>3414.81</v>
      </c>
      <c r="E297" s="7">
        <v>3414.81</v>
      </c>
      <c r="F297" s="7">
        <v>3414.8</v>
      </c>
      <c r="G297" s="7">
        <v>3414.8</v>
      </c>
      <c r="H297" s="16" t="s">
        <v>172</v>
      </c>
      <c r="I297" s="9">
        <f t="shared" si="51"/>
        <v>1</v>
      </c>
    </row>
    <row r="298" spans="1:11" ht="78.75" x14ac:dyDescent="0.25">
      <c r="A298" s="89"/>
      <c r="B298" s="166" t="s">
        <v>253</v>
      </c>
      <c r="C298" s="87" t="s">
        <v>15</v>
      </c>
      <c r="D298" s="7">
        <f>37.4+28.3+441.5+345.8+89.8</f>
        <v>942.8</v>
      </c>
      <c r="E298" s="7">
        <f>37.4+28.3+441.5+345.8+89.8</f>
        <v>942.8</v>
      </c>
      <c r="F298" s="7">
        <f>37.4+28.3+441.5+345.8+89.8</f>
        <v>942.8</v>
      </c>
      <c r="G298" s="7">
        <f>37.4+28.3+441.5+345.8+89.8</f>
        <v>942.8</v>
      </c>
      <c r="H298" s="16" t="s">
        <v>172</v>
      </c>
      <c r="I298" s="9">
        <f t="shared" si="51"/>
        <v>1</v>
      </c>
    </row>
    <row r="299" spans="1:11" ht="31.5" x14ac:dyDescent="0.25">
      <c r="A299" s="1"/>
      <c r="B299" s="166" t="s">
        <v>58</v>
      </c>
      <c r="C299" s="47" t="s">
        <v>13</v>
      </c>
      <c r="D299" s="7">
        <v>3568.1</v>
      </c>
      <c r="E299" s="7">
        <v>3532.8</v>
      </c>
      <c r="F299" s="7">
        <v>2720.7</v>
      </c>
      <c r="G299" s="7">
        <v>2700</v>
      </c>
      <c r="H299" s="16" t="s">
        <v>172</v>
      </c>
      <c r="I299" s="9">
        <f t="shared" si="51"/>
        <v>0.76429999999999998</v>
      </c>
    </row>
    <row r="300" spans="1:11" ht="63" x14ac:dyDescent="0.25">
      <c r="A300" s="89"/>
      <c r="B300" s="166" t="s">
        <v>254</v>
      </c>
      <c r="C300" s="87" t="s">
        <v>13</v>
      </c>
      <c r="D300" s="7">
        <v>0</v>
      </c>
      <c r="E300" s="7">
        <v>0</v>
      </c>
      <c r="F300" s="7">
        <v>0</v>
      </c>
      <c r="G300" s="7">
        <v>0</v>
      </c>
      <c r="H300" s="16" t="s">
        <v>172</v>
      </c>
      <c r="I300" s="9">
        <v>0</v>
      </c>
    </row>
    <row r="301" spans="1:11" x14ac:dyDescent="0.25">
      <c r="A301" s="124"/>
      <c r="B301" s="125" t="s">
        <v>17</v>
      </c>
      <c r="C301" s="38" t="s">
        <v>16</v>
      </c>
      <c r="D301" s="105">
        <f>D302+D303+D304</f>
        <v>254899.01</v>
      </c>
      <c r="E301" s="105">
        <f>E302+E303+E304</f>
        <v>252911.91</v>
      </c>
      <c r="F301" s="39">
        <f>F302+F303+F304</f>
        <v>239948.59999999998</v>
      </c>
      <c r="G301" s="39">
        <f>G302+G303+G304</f>
        <v>238720.39999999997</v>
      </c>
      <c r="H301" s="16" t="s">
        <v>172</v>
      </c>
      <c r="I301" s="9">
        <f t="shared" si="51"/>
        <v>0.94389999999999996</v>
      </c>
      <c r="J301" s="81"/>
    </row>
    <row r="302" spans="1:11" ht="31.5" x14ac:dyDescent="0.25">
      <c r="A302" s="124"/>
      <c r="B302" s="126"/>
      <c r="C302" s="30" t="s">
        <v>13</v>
      </c>
      <c r="D302" s="93">
        <f>D299+D296+D292+D291+D290+D289+D288-0.1</f>
        <v>250169.5</v>
      </c>
      <c r="E302" s="93">
        <f>E299+E296+E292+E291+E290+E289+E288+E300</f>
        <v>248182.39999999999</v>
      </c>
      <c r="F302" s="33">
        <f>F299+F296+F292+F291+F290+F289+F288-0.1</f>
        <v>235247.5</v>
      </c>
      <c r="G302" s="33">
        <f>G299+G296+G292+G291+G290+G289+G288-0.1</f>
        <v>234019.3</v>
      </c>
      <c r="H302" s="16" t="s">
        <v>172</v>
      </c>
      <c r="I302" s="9">
        <f t="shared" si="51"/>
        <v>0.94289999999999996</v>
      </c>
    </row>
    <row r="303" spans="1:11" ht="31.5" x14ac:dyDescent="0.25">
      <c r="A303" s="124"/>
      <c r="B303" s="126"/>
      <c r="C303" s="30" t="s">
        <v>47</v>
      </c>
      <c r="D303" s="33">
        <f>D294+D297</f>
        <v>3444.81</v>
      </c>
      <c r="E303" s="33">
        <f t="shared" ref="E303:G303" si="52">E294+E297</f>
        <v>3444.81</v>
      </c>
      <c r="F303" s="33">
        <f>F294+F297</f>
        <v>3444.8</v>
      </c>
      <c r="G303" s="33">
        <f t="shared" si="52"/>
        <v>3444.8</v>
      </c>
      <c r="H303" s="16" t="s">
        <v>172</v>
      </c>
      <c r="I303" s="9">
        <f t="shared" si="51"/>
        <v>1</v>
      </c>
    </row>
    <row r="304" spans="1:11" ht="47.25" x14ac:dyDescent="0.25">
      <c r="A304" s="124"/>
      <c r="B304" s="126"/>
      <c r="C304" s="30" t="s">
        <v>15</v>
      </c>
      <c r="D304" s="33">
        <f>D293+D295+D298</f>
        <v>1284.6999999999998</v>
      </c>
      <c r="E304" s="33">
        <f>E293+E295+E298</f>
        <v>1284.6999999999998</v>
      </c>
      <c r="F304" s="33">
        <f>F293+F295+F298</f>
        <v>1256.3</v>
      </c>
      <c r="G304" s="33">
        <f>G293+G295+G298</f>
        <v>1256.3</v>
      </c>
      <c r="H304" s="16" t="s">
        <v>172</v>
      </c>
      <c r="I304" s="9">
        <f t="shared" si="51"/>
        <v>0.97789999999999999</v>
      </c>
    </row>
    <row r="305" spans="1:11" x14ac:dyDescent="0.25">
      <c r="A305" s="1"/>
      <c r="B305" s="117" t="s">
        <v>73</v>
      </c>
      <c r="C305" s="118"/>
      <c r="D305" s="118"/>
      <c r="E305" s="118"/>
      <c r="F305" s="118"/>
      <c r="G305" s="118"/>
      <c r="H305" s="118"/>
      <c r="I305" s="119"/>
    </row>
    <row r="306" spans="1:11" ht="31.5" x14ac:dyDescent="0.25">
      <c r="A306" s="1"/>
      <c r="B306" s="47" t="s">
        <v>199</v>
      </c>
      <c r="C306" s="47" t="s">
        <v>13</v>
      </c>
      <c r="D306" s="7">
        <v>438</v>
      </c>
      <c r="E306" s="7">
        <v>378</v>
      </c>
      <c r="F306" s="7">
        <v>319.39999999999998</v>
      </c>
      <c r="G306" s="7">
        <v>319.39999999999998</v>
      </c>
      <c r="H306" s="16" t="s">
        <v>172</v>
      </c>
      <c r="I306" s="9">
        <f>G306/D306</f>
        <v>0.72922374429223735</v>
      </c>
    </row>
    <row r="307" spans="1:11" x14ac:dyDescent="0.25">
      <c r="A307" s="124"/>
      <c r="B307" s="125" t="s">
        <v>17</v>
      </c>
      <c r="C307" s="38" t="s">
        <v>16</v>
      </c>
      <c r="D307" s="39">
        <f>D306</f>
        <v>438</v>
      </c>
      <c r="E307" s="39">
        <f>E308</f>
        <v>378</v>
      </c>
      <c r="F307" s="39">
        <f>F308</f>
        <v>319.39999999999998</v>
      </c>
      <c r="G307" s="39">
        <f>G308</f>
        <v>319.39999999999998</v>
      </c>
      <c r="H307" s="37" t="s">
        <v>172</v>
      </c>
      <c r="I307" s="9">
        <f t="shared" ref="I307:I312" si="53">G307/D307</f>
        <v>0.72922374429223735</v>
      </c>
    </row>
    <row r="308" spans="1:11" ht="31.5" x14ac:dyDescent="0.25">
      <c r="A308" s="124"/>
      <c r="B308" s="126"/>
      <c r="C308" s="30" t="s">
        <v>13</v>
      </c>
      <c r="D308" s="33">
        <f>D306</f>
        <v>438</v>
      </c>
      <c r="E308" s="33">
        <f>E306</f>
        <v>378</v>
      </c>
      <c r="F308" s="33">
        <f>F306</f>
        <v>319.39999999999998</v>
      </c>
      <c r="G308" s="33">
        <f>G306</f>
        <v>319.39999999999998</v>
      </c>
      <c r="H308" s="16" t="s">
        <v>172</v>
      </c>
      <c r="I308" s="9">
        <f t="shared" si="53"/>
        <v>0.72922374429223735</v>
      </c>
    </row>
    <row r="309" spans="1:11" s="5" customFormat="1" x14ac:dyDescent="0.25">
      <c r="A309" s="124"/>
      <c r="B309" s="125" t="s">
        <v>14</v>
      </c>
      <c r="C309" s="25" t="s">
        <v>16</v>
      </c>
      <c r="D309" s="94">
        <f>D310+D311+D312</f>
        <v>439039.52</v>
      </c>
      <c r="E309" s="94">
        <f>E310+E311+E312</f>
        <v>435643.49</v>
      </c>
      <c r="F309" s="94">
        <f>F310+F311+F312</f>
        <v>414744.69999999995</v>
      </c>
      <c r="G309" s="26">
        <f>G310+G311+G312</f>
        <v>411487.3</v>
      </c>
      <c r="H309" s="16" t="s">
        <v>172</v>
      </c>
      <c r="I309" s="9">
        <f t="shared" si="53"/>
        <v>0.93724432825546089</v>
      </c>
    </row>
    <row r="310" spans="1:11" s="5" customFormat="1" ht="31.5" x14ac:dyDescent="0.25">
      <c r="A310" s="126"/>
      <c r="B310" s="126"/>
      <c r="C310" s="47" t="s">
        <v>13</v>
      </c>
      <c r="D310" s="93">
        <f>D308+D302+D284-0.1</f>
        <v>412417.4</v>
      </c>
      <c r="E310" s="93">
        <f>E308+E302+E284</f>
        <v>409021.39999999997</v>
      </c>
      <c r="F310" s="7">
        <f>F308+F302+F284+0.1</f>
        <v>388419.69999999995</v>
      </c>
      <c r="G310" s="7">
        <f>G308+G302+G284</f>
        <v>385252.4</v>
      </c>
      <c r="H310" s="16" t="s">
        <v>172</v>
      </c>
      <c r="I310" s="9">
        <f t="shared" si="53"/>
        <v>0.93413226503052493</v>
      </c>
      <c r="K310" s="95"/>
    </row>
    <row r="311" spans="1:11" s="5" customFormat="1" ht="47.25" x14ac:dyDescent="0.25">
      <c r="A311" s="126"/>
      <c r="B311" s="126"/>
      <c r="C311" s="47" t="s">
        <v>15</v>
      </c>
      <c r="D311" s="7">
        <f>D304+D286</f>
        <v>21771.48</v>
      </c>
      <c r="E311" s="7">
        <f>E304+E286</f>
        <v>21771.45</v>
      </c>
      <c r="F311" s="93">
        <f>F304+F286</f>
        <v>21474.399999999998</v>
      </c>
      <c r="G311" s="7">
        <f>G304+G286</f>
        <v>21384.300000000003</v>
      </c>
      <c r="H311" s="16" t="s">
        <v>172</v>
      </c>
      <c r="I311" s="9">
        <f t="shared" si="53"/>
        <v>0.98221618374129838</v>
      </c>
    </row>
    <row r="312" spans="1:11" s="5" customFormat="1" ht="31.5" x14ac:dyDescent="0.25">
      <c r="A312" s="127"/>
      <c r="B312" s="127"/>
      <c r="C312" s="47" t="s">
        <v>47</v>
      </c>
      <c r="D312" s="23">
        <f>D303+D285</f>
        <v>4850.6399999999994</v>
      </c>
      <c r="E312" s="23">
        <f>E303+E285</f>
        <v>4850.6399999999994</v>
      </c>
      <c r="F312" s="23">
        <f>F303+F285</f>
        <v>4850.6000000000004</v>
      </c>
      <c r="G312" s="23">
        <f>G303+G285</f>
        <v>4850.6000000000004</v>
      </c>
      <c r="H312" s="16" t="s">
        <v>172</v>
      </c>
      <c r="I312" s="9">
        <f t="shared" si="53"/>
        <v>0.99999175366549586</v>
      </c>
    </row>
    <row r="313" spans="1:11" x14ac:dyDescent="0.25">
      <c r="A313" s="46">
        <v>14</v>
      </c>
      <c r="B313" s="130" t="s">
        <v>139</v>
      </c>
      <c r="C313" s="131"/>
      <c r="D313" s="131"/>
      <c r="E313" s="131"/>
      <c r="F313" s="131"/>
      <c r="G313" s="131"/>
      <c r="H313" s="131"/>
      <c r="I313" s="132"/>
    </row>
    <row r="314" spans="1:11" ht="63" x14ac:dyDescent="0.25">
      <c r="A314" s="24"/>
      <c r="B314" s="166" t="s">
        <v>20</v>
      </c>
      <c r="C314" s="47" t="s">
        <v>13</v>
      </c>
      <c r="D314" s="7">
        <f>192.2+351.3</f>
        <v>543.5</v>
      </c>
      <c r="E314" s="7">
        <f>176.6+351.3</f>
        <v>527.9</v>
      </c>
      <c r="F314" s="7">
        <f>164.3+320.8</f>
        <v>485.1</v>
      </c>
      <c r="G314" s="7">
        <f>164.3+320.8</f>
        <v>485.1</v>
      </c>
      <c r="H314" s="16" t="s">
        <v>172</v>
      </c>
      <c r="I314" s="9">
        <f t="shared" si="51"/>
        <v>0.91890000000000005</v>
      </c>
    </row>
    <row r="315" spans="1:11" ht="47.25" x14ac:dyDescent="0.25">
      <c r="A315" s="24"/>
      <c r="B315" s="166" t="s">
        <v>21</v>
      </c>
      <c r="C315" s="47" t="s">
        <v>13</v>
      </c>
      <c r="D315" s="7">
        <f>13.5+421.6+42.4</f>
        <v>477.5</v>
      </c>
      <c r="E315" s="7">
        <f>6.75+421.6+42.4</f>
        <v>470.75</v>
      </c>
      <c r="F315" s="7">
        <f>418.9+10.5</f>
        <v>429.4</v>
      </c>
      <c r="G315" s="7">
        <f>418.9+10.5</f>
        <v>429.4</v>
      </c>
      <c r="H315" s="16" t="s">
        <v>172</v>
      </c>
      <c r="I315" s="9">
        <f t="shared" si="51"/>
        <v>0.91220000000000001</v>
      </c>
    </row>
    <row r="316" spans="1:11" ht="47.25" x14ac:dyDescent="0.25">
      <c r="A316" s="53"/>
      <c r="B316" s="167" t="s">
        <v>74</v>
      </c>
      <c r="C316" s="47" t="s">
        <v>13</v>
      </c>
      <c r="D316" s="7">
        <f>88.2+266+177.7</f>
        <v>531.9</v>
      </c>
      <c r="E316" s="7">
        <f>44.1+266+177.7</f>
        <v>487.8</v>
      </c>
      <c r="F316" s="7">
        <f>54.6+177.7</f>
        <v>232.29999999999998</v>
      </c>
      <c r="G316" s="7">
        <f>54.6+177.7</f>
        <v>232.29999999999998</v>
      </c>
      <c r="H316" s="16" t="s">
        <v>172</v>
      </c>
      <c r="I316" s="9">
        <f t="shared" si="51"/>
        <v>0.47620000000000001</v>
      </c>
    </row>
    <row r="317" spans="1:11" ht="78.75" x14ac:dyDescent="0.25">
      <c r="A317" s="53"/>
      <c r="B317" s="167" t="s">
        <v>75</v>
      </c>
      <c r="C317" s="47" t="s">
        <v>13</v>
      </c>
      <c r="D317" s="7">
        <f>13.5+12</f>
        <v>25.5</v>
      </c>
      <c r="E317" s="7">
        <f>13.5+12</f>
        <v>25.5</v>
      </c>
      <c r="F317" s="7">
        <f>13.5+12</f>
        <v>25.5</v>
      </c>
      <c r="G317" s="7">
        <f>13.5+12</f>
        <v>25.5</v>
      </c>
      <c r="H317" s="16" t="s">
        <v>172</v>
      </c>
      <c r="I317" s="9">
        <f t="shared" si="51"/>
        <v>1</v>
      </c>
    </row>
    <row r="318" spans="1:11" ht="47.25" x14ac:dyDescent="0.25">
      <c r="A318" s="53"/>
      <c r="B318" s="167" t="s">
        <v>266</v>
      </c>
      <c r="C318" s="47" t="s">
        <v>13</v>
      </c>
      <c r="D318" s="7">
        <v>60</v>
      </c>
      <c r="E318" s="7">
        <v>60</v>
      </c>
      <c r="F318" s="7">
        <v>60</v>
      </c>
      <c r="G318" s="7">
        <v>60</v>
      </c>
      <c r="H318" s="16" t="s">
        <v>172</v>
      </c>
      <c r="I318" s="9">
        <f t="shared" si="51"/>
        <v>1</v>
      </c>
    </row>
    <row r="319" spans="1:11" ht="94.5" x14ac:dyDescent="0.25">
      <c r="A319" s="53"/>
      <c r="B319" s="167" t="s">
        <v>140</v>
      </c>
      <c r="C319" s="47" t="s">
        <v>15</v>
      </c>
      <c r="D319" s="7">
        <v>815.24</v>
      </c>
      <c r="E319" s="7">
        <v>815.24</v>
      </c>
      <c r="F319" s="7">
        <v>815.2</v>
      </c>
      <c r="G319" s="7">
        <v>815.2</v>
      </c>
      <c r="H319" s="16" t="s">
        <v>172</v>
      </c>
      <c r="I319" s="9">
        <f t="shared" si="51"/>
        <v>1</v>
      </c>
    </row>
    <row r="320" spans="1:11" ht="94.5" x14ac:dyDescent="0.25">
      <c r="A320" s="53"/>
      <c r="B320" s="167" t="s">
        <v>141</v>
      </c>
      <c r="C320" s="47" t="s">
        <v>13</v>
      </c>
      <c r="D320" s="7">
        <v>309.23</v>
      </c>
      <c r="E320" s="7">
        <v>309.23</v>
      </c>
      <c r="F320" s="7">
        <v>309.2</v>
      </c>
      <c r="G320" s="7">
        <v>309.2</v>
      </c>
      <c r="H320" s="16" t="s">
        <v>172</v>
      </c>
      <c r="I320" s="9">
        <f t="shared" si="51"/>
        <v>0.99990000000000001</v>
      </c>
    </row>
    <row r="321" spans="1:10" ht="94.5" x14ac:dyDescent="0.25">
      <c r="A321" s="53"/>
      <c r="B321" s="167" t="s">
        <v>206</v>
      </c>
      <c r="C321" s="47" t="s">
        <v>15</v>
      </c>
      <c r="D321" s="7">
        <v>1936.4</v>
      </c>
      <c r="E321" s="7">
        <v>1936.4</v>
      </c>
      <c r="F321" s="7">
        <v>1936.4</v>
      </c>
      <c r="G321" s="7">
        <v>1936.4</v>
      </c>
      <c r="H321" s="16" t="s">
        <v>172</v>
      </c>
      <c r="I321" s="9">
        <f t="shared" si="51"/>
        <v>1</v>
      </c>
    </row>
    <row r="322" spans="1:10" ht="141.75" x14ac:dyDescent="0.25">
      <c r="A322" s="53"/>
      <c r="B322" s="167" t="s">
        <v>169</v>
      </c>
      <c r="C322" s="47" t="s">
        <v>13</v>
      </c>
      <c r="D322" s="7">
        <v>8108.6</v>
      </c>
      <c r="E322" s="7">
        <v>7583.9</v>
      </c>
      <c r="F322" s="7">
        <v>6671</v>
      </c>
      <c r="G322" s="7">
        <v>6671</v>
      </c>
      <c r="H322" s="16" t="s">
        <v>172</v>
      </c>
      <c r="I322" s="9">
        <f>G322/D322</f>
        <v>0.82270675579014874</v>
      </c>
    </row>
    <row r="323" spans="1:10" ht="47.25" x14ac:dyDescent="0.25">
      <c r="A323" s="53"/>
      <c r="B323" s="167" t="s">
        <v>233</v>
      </c>
      <c r="C323" s="47" t="s">
        <v>15</v>
      </c>
      <c r="D323" s="7">
        <v>139453</v>
      </c>
      <c r="E323" s="7">
        <v>139453</v>
      </c>
      <c r="F323" s="7">
        <v>139403</v>
      </c>
      <c r="G323" s="7">
        <v>139403</v>
      </c>
      <c r="H323" s="16" t="s">
        <v>172</v>
      </c>
      <c r="I323" s="9">
        <f>ROUND(G323/E323,4)</f>
        <v>0.99960000000000004</v>
      </c>
    </row>
    <row r="324" spans="1:10" ht="94.5" x14ac:dyDescent="0.25">
      <c r="A324" s="53"/>
      <c r="B324" s="167" t="s">
        <v>248</v>
      </c>
      <c r="C324" s="47" t="s">
        <v>13</v>
      </c>
      <c r="D324" s="7">
        <v>300</v>
      </c>
      <c r="E324" s="7">
        <v>300</v>
      </c>
      <c r="F324" s="7">
        <v>300</v>
      </c>
      <c r="G324" s="7">
        <v>300</v>
      </c>
      <c r="H324" s="16" t="s">
        <v>172</v>
      </c>
      <c r="I324" s="9">
        <f>ROUND(G324/E324,4)</f>
        <v>1</v>
      </c>
    </row>
    <row r="325" spans="1:10" ht="94.5" x14ac:dyDescent="0.25">
      <c r="A325" s="53"/>
      <c r="B325" s="167" t="s">
        <v>249</v>
      </c>
      <c r="C325" s="47" t="s">
        <v>13</v>
      </c>
      <c r="D325" s="7">
        <v>150</v>
      </c>
      <c r="E325" s="7">
        <v>150</v>
      </c>
      <c r="F325" s="7">
        <v>150</v>
      </c>
      <c r="G325" s="7">
        <v>150</v>
      </c>
      <c r="H325" s="16" t="s">
        <v>172</v>
      </c>
      <c r="I325" s="9">
        <f>ROUND(G325/E325,4)</f>
        <v>1</v>
      </c>
    </row>
    <row r="326" spans="1:10" ht="78.75" x14ac:dyDescent="0.25">
      <c r="A326" s="104"/>
      <c r="B326" s="167" t="s">
        <v>25</v>
      </c>
      <c r="C326" s="102" t="s">
        <v>13</v>
      </c>
      <c r="D326" s="7">
        <v>65</v>
      </c>
      <c r="E326" s="7">
        <v>65</v>
      </c>
      <c r="F326" s="7">
        <v>57.4</v>
      </c>
      <c r="G326" s="7">
        <v>57.4</v>
      </c>
      <c r="H326" s="16" t="s">
        <v>172</v>
      </c>
      <c r="I326" s="9">
        <f>ROUND(G326/E326,4)</f>
        <v>0.8831</v>
      </c>
    </row>
    <row r="327" spans="1:10" ht="78.75" x14ac:dyDescent="0.25">
      <c r="A327" s="104"/>
      <c r="B327" s="166" t="s">
        <v>253</v>
      </c>
      <c r="C327" s="102" t="s">
        <v>15</v>
      </c>
      <c r="D327" s="7">
        <v>15.6</v>
      </c>
      <c r="E327" s="7">
        <v>15.6</v>
      </c>
      <c r="F327" s="7">
        <v>15.6</v>
      </c>
      <c r="G327" s="7">
        <v>15.6</v>
      </c>
      <c r="H327" s="16" t="s">
        <v>172</v>
      </c>
      <c r="I327" s="9">
        <f>ROUND(G327/E327,4)</f>
        <v>1</v>
      </c>
    </row>
    <row r="328" spans="1:10" x14ac:dyDescent="0.25">
      <c r="A328" s="147"/>
      <c r="B328" s="106" t="s">
        <v>14</v>
      </c>
      <c r="C328" s="46" t="s">
        <v>16</v>
      </c>
      <c r="D328" s="10">
        <f>D329+D330</f>
        <v>152791.37000000002</v>
      </c>
      <c r="E328" s="10">
        <f>E329+E330</f>
        <v>152200.22000000003</v>
      </c>
      <c r="F328" s="10">
        <f>F329+F330</f>
        <v>150890</v>
      </c>
      <c r="G328" s="10">
        <f>G329+G330</f>
        <v>150890</v>
      </c>
      <c r="H328" s="37" t="s">
        <v>172</v>
      </c>
      <c r="I328" s="12">
        <f>G328/D328</f>
        <v>0.98755577621955992</v>
      </c>
      <c r="J328" s="81"/>
    </row>
    <row r="329" spans="1:10" ht="31.5" x14ac:dyDescent="0.25">
      <c r="A329" s="148"/>
      <c r="B329" s="128"/>
      <c r="C329" s="47" t="s">
        <v>13</v>
      </c>
      <c r="D329" s="7">
        <f>D314+D315+D316+D317+D318+D320+D322+D324+D325+D326-0.1</f>
        <v>10571.13</v>
      </c>
      <c r="E329" s="7">
        <f>E314+E315+E316+E317+E318+E320+E322+E324+E325+E326-0.1</f>
        <v>9979.98</v>
      </c>
      <c r="F329" s="7">
        <f>F314+F315+F316+F317+F318+F320+F322+F324+F325+F326-0.1</f>
        <v>8719.7999999999993</v>
      </c>
      <c r="G329" s="7">
        <f>G314+G315+G316+G317+G318+G320+G322+G324+G325+G326-0.1</f>
        <v>8719.7999999999993</v>
      </c>
      <c r="H329" s="16" t="s">
        <v>172</v>
      </c>
      <c r="I329" s="9">
        <f t="shared" ref="I329:I330" si="54">G329/D329</f>
        <v>0.82486924292861785</v>
      </c>
    </row>
    <row r="330" spans="1:10" ht="47.25" x14ac:dyDescent="0.25">
      <c r="A330" s="54"/>
      <c r="B330" s="145"/>
      <c r="C330" s="47" t="s">
        <v>15</v>
      </c>
      <c r="D330" s="7">
        <f>D319+D321+D323+D327</f>
        <v>142220.24000000002</v>
      </c>
      <c r="E330" s="7">
        <f t="shared" ref="E330:G330" si="55">E319+E321+E323+E327</f>
        <v>142220.24000000002</v>
      </c>
      <c r="F330" s="7">
        <f t="shared" si="55"/>
        <v>142170.20000000001</v>
      </c>
      <c r="G330" s="7">
        <f t="shared" si="55"/>
        <v>142170.20000000001</v>
      </c>
      <c r="H330" s="16" t="s">
        <v>172</v>
      </c>
      <c r="I330" s="9">
        <f t="shared" si="54"/>
        <v>0.99964815134610929</v>
      </c>
    </row>
    <row r="331" spans="1:10" ht="15.75" customHeight="1" x14ac:dyDescent="0.25">
      <c r="A331" s="46">
        <v>16</v>
      </c>
      <c r="B331" s="130" t="s">
        <v>142</v>
      </c>
      <c r="C331" s="131"/>
      <c r="D331" s="131"/>
      <c r="E331" s="131"/>
      <c r="F331" s="131"/>
      <c r="G331" s="131"/>
      <c r="H331" s="131"/>
      <c r="I331" s="132"/>
    </row>
    <row r="332" spans="1:10" ht="15.75" customHeight="1" x14ac:dyDescent="0.25">
      <c r="A332" s="117" t="s">
        <v>76</v>
      </c>
      <c r="B332" s="118"/>
      <c r="C332" s="118"/>
      <c r="D332" s="118"/>
      <c r="E332" s="118"/>
      <c r="F332" s="118"/>
      <c r="G332" s="118"/>
      <c r="H332" s="118"/>
      <c r="I332" s="119"/>
    </row>
    <row r="333" spans="1:10" ht="63" x14ac:dyDescent="0.25">
      <c r="A333" s="28"/>
      <c r="B333" s="177" t="s">
        <v>77</v>
      </c>
      <c r="C333" s="47" t="s">
        <v>13</v>
      </c>
      <c r="D333" s="23">
        <v>2078.6999999999998</v>
      </c>
      <c r="E333" s="179">
        <v>2023.7</v>
      </c>
      <c r="F333" s="23">
        <v>802.7</v>
      </c>
      <c r="G333" s="23">
        <v>802.7</v>
      </c>
      <c r="H333" s="16" t="s">
        <v>172</v>
      </c>
      <c r="I333" s="9">
        <f>ROUND(G333/E333,4)</f>
        <v>0.39660000000000001</v>
      </c>
    </row>
    <row r="334" spans="1:10" ht="63" x14ac:dyDescent="0.25">
      <c r="A334" s="28"/>
      <c r="B334" s="177" t="s">
        <v>78</v>
      </c>
      <c r="C334" s="47" t="s">
        <v>13</v>
      </c>
      <c r="D334" s="23">
        <v>6030</v>
      </c>
      <c r="E334" s="179">
        <v>6030</v>
      </c>
      <c r="F334" s="23">
        <v>4419</v>
      </c>
      <c r="G334" s="23">
        <v>4226.8</v>
      </c>
      <c r="H334" s="16" t="s">
        <v>172</v>
      </c>
      <c r="I334" s="9">
        <f t="shared" ref="I334:I354" si="56">ROUND(G334/E334,4)</f>
        <v>0.70099999999999996</v>
      </c>
    </row>
    <row r="335" spans="1:10" ht="63" x14ac:dyDescent="0.25">
      <c r="A335" s="28"/>
      <c r="B335" s="177" t="s">
        <v>82</v>
      </c>
      <c r="C335" s="47" t="s">
        <v>13</v>
      </c>
      <c r="D335" s="23">
        <v>714</v>
      </c>
      <c r="E335" s="179">
        <v>714</v>
      </c>
      <c r="F335" s="23">
        <v>0</v>
      </c>
      <c r="G335" s="23">
        <v>0</v>
      </c>
      <c r="H335" s="16" t="s">
        <v>172</v>
      </c>
      <c r="I335" s="9">
        <f t="shared" si="56"/>
        <v>0</v>
      </c>
    </row>
    <row r="336" spans="1:10" ht="63" x14ac:dyDescent="0.25">
      <c r="A336" s="28"/>
      <c r="B336" s="177" t="s">
        <v>81</v>
      </c>
      <c r="C336" s="47" t="s">
        <v>13</v>
      </c>
      <c r="D336" s="23">
        <v>50</v>
      </c>
      <c r="E336" s="179">
        <v>50</v>
      </c>
      <c r="F336" s="23">
        <v>0</v>
      </c>
      <c r="G336" s="23">
        <v>0</v>
      </c>
      <c r="H336" s="16" t="s">
        <v>172</v>
      </c>
      <c r="I336" s="9">
        <f t="shared" si="56"/>
        <v>0</v>
      </c>
    </row>
    <row r="337" spans="1:9" ht="31.5" x14ac:dyDescent="0.25">
      <c r="A337" s="28"/>
      <c r="B337" s="177" t="s">
        <v>143</v>
      </c>
      <c r="C337" s="47" t="s">
        <v>13</v>
      </c>
      <c r="D337" s="23">
        <v>1514.5</v>
      </c>
      <c r="E337" s="179">
        <v>1514.5</v>
      </c>
      <c r="F337" s="23">
        <v>0</v>
      </c>
      <c r="G337" s="23">
        <v>0</v>
      </c>
      <c r="H337" s="16" t="s">
        <v>172</v>
      </c>
      <c r="I337" s="9">
        <f t="shared" si="56"/>
        <v>0</v>
      </c>
    </row>
    <row r="338" spans="1:9" ht="63" x14ac:dyDescent="0.25">
      <c r="A338" s="28"/>
      <c r="B338" s="177" t="s">
        <v>80</v>
      </c>
      <c r="C338" s="47" t="s">
        <v>15</v>
      </c>
      <c r="D338" s="23">
        <v>1370.61</v>
      </c>
      <c r="E338" s="23">
        <v>1370.61</v>
      </c>
      <c r="F338" s="23">
        <v>1370.6</v>
      </c>
      <c r="G338" s="23">
        <v>1370.6</v>
      </c>
      <c r="H338" s="16" t="s">
        <v>172</v>
      </c>
      <c r="I338" s="9">
        <f t="shared" si="56"/>
        <v>1</v>
      </c>
    </row>
    <row r="339" spans="1:9" ht="47.25" x14ac:dyDescent="0.25">
      <c r="A339" s="28"/>
      <c r="B339" s="177" t="s">
        <v>114</v>
      </c>
      <c r="C339" s="47" t="s">
        <v>13</v>
      </c>
      <c r="D339" s="23">
        <v>2915.1</v>
      </c>
      <c r="E339" s="179">
        <v>2915.1</v>
      </c>
      <c r="F339" s="23">
        <v>2915.1</v>
      </c>
      <c r="G339" s="23">
        <v>2915.1</v>
      </c>
      <c r="H339" s="16" t="s">
        <v>172</v>
      </c>
      <c r="I339" s="9">
        <f t="shared" si="56"/>
        <v>1</v>
      </c>
    </row>
    <row r="340" spans="1:9" ht="47.25" x14ac:dyDescent="0.25">
      <c r="A340" s="1"/>
      <c r="B340" s="181" t="s">
        <v>89</v>
      </c>
      <c r="C340" s="47" t="s">
        <v>13</v>
      </c>
      <c r="D340" s="23">
        <v>765.5</v>
      </c>
      <c r="E340" s="23">
        <v>765.5</v>
      </c>
      <c r="F340" s="179">
        <v>318.39999999999998</v>
      </c>
      <c r="G340" s="23">
        <v>317.60000000000002</v>
      </c>
      <c r="H340" s="16" t="s">
        <v>172</v>
      </c>
      <c r="I340" s="9">
        <f t="shared" si="56"/>
        <v>0.41489999999999999</v>
      </c>
    </row>
    <row r="341" spans="1:9" ht="63" x14ac:dyDescent="0.25">
      <c r="A341" s="1"/>
      <c r="B341" s="92" t="s">
        <v>90</v>
      </c>
      <c r="C341" s="47" t="s">
        <v>13</v>
      </c>
      <c r="D341" s="23">
        <v>2340</v>
      </c>
      <c r="E341" s="179">
        <v>2340</v>
      </c>
      <c r="F341" s="23">
        <v>1413.6</v>
      </c>
      <c r="G341" s="23">
        <v>1413.6</v>
      </c>
      <c r="H341" s="16" t="s">
        <v>172</v>
      </c>
      <c r="I341" s="9">
        <f t="shared" si="56"/>
        <v>0.60409999999999997</v>
      </c>
    </row>
    <row r="342" spans="1:9" ht="63" x14ac:dyDescent="0.25">
      <c r="A342" s="57"/>
      <c r="B342" s="172" t="s">
        <v>160</v>
      </c>
      <c r="C342" s="47" t="s">
        <v>13</v>
      </c>
      <c r="D342" s="23">
        <v>3966</v>
      </c>
      <c r="E342" s="179">
        <v>3966</v>
      </c>
      <c r="F342" s="23">
        <v>1787</v>
      </c>
      <c r="G342" s="23">
        <v>1787</v>
      </c>
      <c r="H342" s="16" t="s">
        <v>172</v>
      </c>
      <c r="I342" s="9">
        <f t="shared" si="56"/>
        <v>0.4506</v>
      </c>
    </row>
    <row r="343" spans="1:9" ht="126" x14ac:dyDescent="0.25">
      <c r="A343" s="57"/>
      <c r="B343" s="172" t="s">
        <v>234</v>
      </c>
      <c r="C343" s="47" t="s">
        <v>15</v>
      </c>
      <c r="D343" s="32">
        <v>500</v>
      </c>
      <c r="E343" s="32">
        <v>500</v>
      </c>
      <c r="F343" s="179">
        <v>500</v>
      </c>
      <c r="G343" s="23">
        <v>500</v>
      </c>
      <c r="H343" s="16" t="s">
        <v>172</v>
      </c>
      <c r="I343" s="9">
        <f t="shared" si="56"/>
        <v>1</v>
      </c>
    </row>
    <row r="344" spans="1:9" ht="94.5" x14ac:dyDescent="0.25">
      <c r="A344" s="57"/>
      <c r="B344" s="172" t="s">
        <v>235</v>
      </c>
      <c r="C344" s="47" t="s">
        <v>15</v>
      </c>
      <c r="D344" s="32">
        <v>1000</v>
      </c>
      <c r="E344" s="32">
        <v>1000</v>
      </c>
      <c r="F344" s="179">
        <v>1000</v>
      </c>
      <c r="G344" s="23">
        <v>1000</v>
      </c>
      <c r="H344" s="16" t="s">
        <v>172</v>
      </c>
      <c r="I344" s="9">
        <f t="shared" si="56"/>
        <v>1</v>
      </c>
    </row>
    <row r="345" spans="1:9" ht="110.25" x14ac:dyDescent="0.25">
      <c r="A345" s="57"/>
      <c r="B345" s="172" t="s">
        <v>236</v>
      </c>
      <c r="C345" s="47" t="s">
        <v>13</v>
      </c>
      <c r="D345" s="180">
        <v>799.52</v>
      </c>
      <c r="E345" s="180">
        <v>799.52</v>
      </c>
      <c r="F345" s="23">
        <v>799.5</v>
      </c>
      <c r="G345" s="23">
        <v>799.5</v>
      </c>
      <c r="H345" s="16" t="s">
        <v>172</v>
      </c>
      <c r="I345" s="9">
        <f t="shared" si="56"/>
        <v>1</v>
      </c>
    </row>
    <row r="346" spans="1:9" ht="78.75" x14ac:dyDescent="0.25">
      <c r="A346" s="57"/>
      <c r="B346" s="172" t="s">
        <v>237</v>
      </c>
      <c r="C346" s="47" t="s">
        <v>13</v>
      </c>
      <c r="D346" s="180">
        <v>1152.82</v>
      </c>
      <c r="E346" s="180">
        <v>1152.82</v>
      </c>
      <c r="F346" s="23">
        <v>1152.8</v>
      </c>
      <c r="G346" s="23">
        <v>1152.8</v>
      </c>
      <c r="H346" s="16" t="s">
        <v>172</v>
      </c>
      <c r="I346" s="9">
        <f t="shared" si="56"/>
        <v>1</v>
      </c>
    </row>
    <row r="347" spans="1:9" ht="110.25" customHeight="1" x14ac:dyDescent="0.25">
      <c r="A347" s="114"/>
      <c r="B347" s="182" t="s">
        <v>238</v>
      </c>
      <c r="C347" s="47" t="s">
        <v>101</v>
      </c>
      <c r="D347" s="23">
        <v>110733.4</v>
      </c>
      <c r="E347" s="23">
        <v>110733.4</v>
      </c>
      <c r="F347" s="23">
        <v>110733.4</v>
      </c>
      <c r="G347" s="23">
        <v>110733.4</v>
      </c>
      <c r="H347" s="16" t="s">
        <v>172</v>
      </c>
      <c r="I347" s="9">
        <f t="shared" si="56"/>
        <v>1</v>
      </c>
    </row>
    <row r="348" spans="1:9" ht="47.25" x14ac:dyDescent="0.25">
      <c r="A348" s="115"/>
      <c r="B348" s="183"/>
      <c r="C348" s="47" t="s">
        <v>15</v>
      </c>
      <c r="D348" s="23">
        <v>49733.7</v>
      </c>
      <c r="E348" s="23">
        <v>49733.7</v>
      </c>
      <c r="F348" s="23">
        <v>49733.7</v>
      </c>
      <c r="G348" s="23">
        <v>49733.7</v>
      </c>
      <c r="H348" s="16" t="s">
        <v>172</v>
      </c>
      <c r="I348" s="9">
        <f t="shared" ref="I348:I349" si="57">ROUND(G348/E348,4)</f>
        <v>1</v>
      </c>
    </row>
    <row r="349" spans="1:9" ht="31.5" x14ac:dyDescent="0.25">
      <c r="A349" s="116"/>
      <c r="B349" s="184"/>
      <c r="C349" s="47" t="s">
        <v>13</v>
      </c>
      <c r="D349" s="180">
        <v>16.100000000000001</v>
      </c>
      <c r="E349" s="180">
        <v>16.100000000000001</v>
      </c>
      <c r="F349" s="180">
        <v>16.100000000000001</v>
      </c>
      <c r="G349" s="180">
        <v>16.100000000000001</v>
      </c>
      <c r="H349" s="16" t="s">
        <v>172</v>
      </c>
      <c r="I349" s="9">
        <f t="shared" si="57"/>
        <v>1</v>
      </c>
    </row>
    <row r="350" spans="1:9" ht="31.5" x14ac:dyDescent="0.25">
      <c r="A350" s="57"/>
      <c r="B350" s="172" t="s">
        <v>239</v>
      </c>
      <c r="C350" s="47" t="s">
        <v>13</v>
      </c>
      <c r="D350" s="180">
        <v>0</v>
      </c>
      <c r="E350" s="180">
        <v>0</v>
      </c>
      <c r="F350" s="23">
        <v>0</v>
      </c>
      <c r="G350" s="23">
        <v>0</v>
      </c>
      <c r="H350" s="16" t="s">
        <v>172</v>
      </c>
      <c r="I350" s="9">
        <v>0</v>
      </c>
    </row>
    <row r="351" spans="1:9" x14ac:dyDescent="0.25">
      <c r="A351" s="144"/>
      <c r="B351" s="106" t="s">
        <v>17</v>
      </c>
      <c r="C351" s="38" t="s">
        <v>16</v>
      </c>
      <c r="D351" s="39">
        <f>D352+D353+D354</f>
        <v>185679.84999999998</v>
      </c>
      <c r="E351" s="39">
        <f t="shared" ref="E351:G351" si="58">E352+E353+E354</f>
        <v>185624.84999999998</v>
      </c>
      <c r="F351" s="39">
        <f t="shared" si="58"/>
        <v>176961.9</v>
      </c>
      <c r="G351" s="39">
        <f t="shared" si="58"/>
        <v>176768.9</v>
      </c>
      <c r="H351" s="16" t="s">
        <v>172</v>
      </c>
      <c r="I351" s="9">
        <f t="shared" si="56"/>
        <v>0.95230000000000004</v>
      </c>
    </row>
    <row r="352" spans="1:9" ht="31.5" x14ac:dyDescent="0.25">
      <c r="A352" s="146"/>
      <c r="B352" s="110"/>
      <c r="C352" s="30" t="s">
        <v>101</v>
      </c>
      <c r="D352" s="33">
        <f>D347-0.1</f>
        <v>110733.29999999999</v>
      </c>
      <c r="E352" s="33">
        <f>E347-0.1</f>
        <v>110733.29999999999</v>
      </c>
      <c r="F352" s="33">
        <f t="shared" ref="F352" si="59">F347</f>
        <v>110733.4</v>
      </c>
      <c r="G352" s="33">
        <f>G347</f>
        <v>110733.4</v>
      </c>
      <c r="H352" s="16" t="s">
        <v>172</v>
      </c>
      <c r="I352" s="9">
        <f t="shared" si="56"/>
        <v>1</v>
      </c>
    </row>
    <row r="353" spans="1:9" ht="47.25" x14ac:dyDescent="0.25">
      <c r="A353" s="146"/>
      <c r="B353" s="110"/>
      <c r="C353" s="47" t="s">
        <v>15</v>
      </c>
      <c r="D353" s="33">
        <f>D338+D344+D343+D348</f>
        <v>52604.31</v>
      </c>
      <c r="E353" s="33">
        <f>E338+E344+E343+E348</f>
        <v>52604.31</v>
      </c>
      <c r="F353" s="33">
        <f t="shared" ref="F353:G353" si="60">F338+F344+F343+F348</f>
        <v>52604.299999999996</v>
      </c>
      <c r="G353" s="33">
        <f t="shared" si="60"/>
        <v>52604.299999999996</v>
      </c>
      <c r="H353" s="16" t="s">
        <v>172</v>
      </c>
      <c r="I353" s="9">
        <f t="shared" si="56"/>
        <v>1</v>
      </c>
    </row>
    <row r="354" spans="1:9" ht="31.5" x14ac:dyDescent="0.25">
      <c r="A354" s="146"/>
      <c r="B354" s="121"/>
      <c r="C354" s="48" t="s">
        <v>13</v>
      </c>
      <c r="D354" s="13">
        <f>D350+D346+D345+D342+D341+D340+D339+D337+D336+D335+D334+D333+D349</f>
        <v>22342.240000000002</v>
      </c>
      <c r="E354" s="13">
        <f>E350+E346+E345+E342+E341+E340+E339+E337+E336+E335+E334+E333+E349</f>
        <v>22287.24</v>
      </c>
      <c r="F354" s="13">
        <f t="shared" ref="F354:G354" si="61">F350+F346+F345+F342+F341+F340+F339+F337+F336+F335+F334+F333+F349</f>
        <v>13624.2</v>
      </c>
      <c r="G354" s="13">
        <f t="shared" si="61"/>
        <v>13431.200000000003</v>
      </c>
      <c r="H354" s="16" t="s">
        <v>172</v>
      </c>
      <c r="I354" s="9">
        <f t="shared" si="56"/>
        <v>0.60260000000000002</v>
      </c>
    </row>
    <row r="355" spans="1:9" ht="15.75" customHeight="1" x14ac:dyDescent="0.25">
      <c r="A355" s="117" t="s">
        <v>157</v>
      </c>
      <c r="B355" s="118"/>
      <c r="C355" s="118"/>
      <c r="D355" s="118"/>
      <c r="E355" s="118"/>
      <c r="F355" s="118"/>
      <c r="G355" s="118"/>
      <c r="H355" s="118"/>
      <c r="I355" s="119"/>
    </row>
    <row r="356" spans="1:9" ht="63" x14ac:dyDescent="0.25">
      <c r="A356" s="28"/>
      <c r="B356" s="29" t="s">
        <v>115</v>
      </c>
      <c r="C356" s="47" t="s">
        <v>13</v>
      </c>
      <c r="D356" s="23">
        <v>3469.3</v>
      </c>
      <c r="E356" s="179">
        <v>3469.2</v>
      </c>
      <c r="F356" s="23">
        <v>2235.1</v>
      </c>
      <c r="G356" s="23">
        <v>2235.1</v>
      </c>
      <c r="H356" s="16" t="s">
        <v>172</v>
      </c>
      <c r="I356" s="9">
        <f>ROUND(G356/E356,4)</f>
        <v>0.64429999999999998</v>
      </c>
    </row>
    <row r="357" spans="1:9" ht="47.25" x14ac:dyDescent="0.25">
      <c r="A357" s="28"/>
      <c r="B357" s="29" t="s">
        <v>240</v>
      </c>
      <c r="C357" s="47" t="s">
        <v>13</v>
      </c>
      <c r="D357" s="23">
        <v>2347</v>
      </c>
      <c r="E357" s="179">
        <v>2347</v>
      </c>
      <c r="F357" s="23">
        <v>280</v>
      </c>
      <c r="G357" s="23">
        <v>280</v>
      </c>
      <c r="H357" s="16" t="s">
        <v>172</v>
      </c>
      <c r="I357" s="9">
        <f>ROUND(G357/E357,4)</f>
        <v>0.1193</v>
      </c>
    </row>
    <row r="358" spans="1:9" ht="63" x14ac:dyDescent="0.25">
      <c r="A358" s="28"/>
      <c r="B358" s="29" t="s">
        <v>116</v>
      </c>
      <c r="C358" s="47" t="s">
        <v>13</v>
      </c>
      <c r="D358" s="23">
        <v>332.8</v>
      </c>
      <c r="E358" s="179">
        <v>332.8</v>
      </c>
      <c r="F358" s="23">
        <v>332.7</v>
      </c>
      <c r="G358" s="23">
        <v>332.7</v>
      </c>
      <c r="H358" s="16" t="s">
        <v>172</v>
      </c>
      <c r="I358" s="9">
        <f t="shared" ref="I358:I363" si="62">ROUND(G358/E358,4)</f>
        <v>0.99970000000000003</v>
      </c>
    </row>
    <row r="359" spans="1:9" ht="47.25" x14ac:dyDescent="0.25">
      <c r="A359" s="28"/>
      <c r="B359" s="29" t="s">
        <v>158</v>
      </c>
      <c r="C359" s="47" t="s">
        <v>15</v>
      </c>
      <c r="D359" s="23">
        <v>6409.6</v>
      </c>
      <c r="E359" s="179">
        <v>6409.6</v>
      </c>
      <c r="F359" s="23">
        <v>6409.6</v>
      </c>
      <c r="G359" s="23">
        <v>6409.6</v>
      </c>
      <c r="H359" s="16" t="s">
        <v>172</v>
      </c>
      <c r="I359" s="9">
        <f t="shared" si="62"/>
        <v>1</v>
      </c>
    </row>
    <row r="360" spans="1:9" ht="31.5" x14ac:dyDescent="0.25">
      <c r="A360" s="28"/>
      <c r="B360" s="29" t="s">
        <v>159</v>
      </c>
      <c r="C360" s="47" t="s">
        <v>13</v>
      </c>
      <c r="D360" s="23">
        <v>3316.4</v>
      </c>
      <c r="E360" s="179">
        <v>3233.2</v>
      </c>
      <c r="F360" s="23">
        <v>3233.2</v>
      </c>
      <c r="G360" s="23">
        <v>3233.2</v>
      </c>
      <c r="H360" s="16" t="s">
        <v>172</v>
      </c>
      <c r="I360" s="9">
        <f>G360/D360</f>
        <v>0.97491255578337954</v>
      </c>
    </row>
    <row r="361" spans="1:9" x14ac:dyDescent="0.25">
      <c r="A361" s="124"/>
      <c r="B361" s="125" t="s">
        <v>17</v>
      </c>
      <c r="C361" s="46" t="s">
        <v>16</v>
      </c>
      <c r="D361" s="10">
        <f>D363+D362</f>
        <v>15875.1</v>
      </c>
      <c r="E361" s="10">
        <f t="shared" ref="E361:G361" si="63">E363+E362</f>
        <v>15791.800000000001</v>
      </c>
      <c r="F361" s="10">
        <f t="shared" si="63"/>
        <v>12490.7</v>
      </c>
      <c r="G361" s="10">
        <f t="shared" si="63"/>
        <v>12490.7</v>
      </c>
      <c r="H361" s="16" t="s">
        <v>172</v>
      </c>
      <c r="I361" s="9">
        <f t="shared" si="62"/>
        <v>0.79100000000000004</v>
      </c>
    </row>
    <row r="362" spans="1:9" ht="47.25" x14ac:dyDescent="0.25">
      <c r="A362" s="124"/>
      <c r="B362" s="125"/>
      <c r="C362" s="47" t="s">
        <v>15</v>
      </c>
      <c r="D362" s="7">
        <f>D359</f>
        <v>6409.6</v>
      </c>
      <c r="E362" s="7">
        <f t="shared" ref="E362:G362" si="64">E359</f>
        <v>6409.6</v>
      </c>
      <c r="F362" s="7">
        <f t="shared" si="64"/>
        <v>6409.6</v>
      </c>
      <c r="G362" s="7">
        <f t="shared" si="64"/>
        <v>6409.6</v>
      </c>
      <c r="H362" s="16" t="s">
        <v>172</v>
      </c>
      <c r="I362" s="9">
        <f t="shared" si="62"/>
        <v>1</v>
      </c>
    </row>
    <row r="363" spans="1:9" ht="31.5" x14ac:dyDescent="0.25">
      <c r="A363" s="124"/>
      <c r="B363" s="126"/>
      <c r="C363" s="47" t="s">
        <v>13</v>
      </c>
      <c r="D363" s="7">
        <f>D356+D358+D360+D357</f>
        <v>9465.5</v>
      </c>
      <c r="E363" s="7">
        <f>E356+E358+E360+E357</f>
        <v>9382.2000000000007</v>
      </c>
      <c r="F363" s="7">
        <f>F356+F358+F360+F357+0.1</f>
        <v>6081.1</v>
      </c>
      <c r="G363" s="7">
        <f>G356+G358+G360+G357+0.1</f>
        <v>6081.1</v>
      </c>
      <c r="H363" s="16" t="s">
        <v>172</v>
      </c>
      <c r="I363" s="9">
        <f t="shared" si="62"/>
        <v>0.6482</v>
      </c>
    </row>
    <row r="364" spans="1:9" ht="15.75" customHeight="1" x14ac:dyDescent="0.25">
      <c r="A364" s="117" t="s">
        <v>170</v>
      </c>
      <c r="B364" s="118"/>
      <c r="C364" s="118"/>
      <c r="D364" s="118"/>
      <c r="E364" s="118"/>
      <c r="F364" s="118"/>
      <c r="G364" s="118"/>
      <c r="H364" s="118"/>
      <c r="I364" s="119"/>
    </row>
    <row r="365" spans="1:9" ht="63" x14ac:dyDescent="0.25">
      <c r="A365" s="53"/>
      <c r="B365" s="41" t="s">
        <v>122</v>
      </c>
      <c r="C365" s="47" t="s">
        <v>13</v>
      </c>
      <c r="D365" s="23">
        <v>10679</v>
      </c>
      <c r="E365" s="179">
        <v>10679</v>
      </c>
      <c r="F365" s="23">
        <v>6279</v>
      </c>
      <c r="G365" s="23">
        <v>6279</v>
      </c>
      <c r="H365" s="16" t="s">
        <v>172</v>
      </c>
      <c r="I365" s="9">
        <f>ROUND(G365/E365,4)</f>
        <v>0.58799999999999997</v>
      </c>
    </row>
    <row r="366" spans="1:9" ht="47.25" x14ac:dyDescent="0.25">
      <c r="A366" s="53"/>
      <c r="B366" s="41" t="s">
        <v>117</v>
      </c>
      <c r="C366" s="47" t="s">
        <v>13</v>
      </c>
      <c r="D366" s="23">
        <v>1034.0999999999999</v>
      </c>
      <c r="E366" s="179">
        <v>1034.0999999999999</v>
      </c>
      <c r="F366" s="23">
        <v>471.4</v>
      </c>
      <c r="G366" s="23">
        <v>471.4</v>
      </c>
      <c r="H366" s="16" t="s">
        <v>172</v>
      </c>
      <c r="I366" s="9">
        <f>ROUND(G366/E366,4)</f>
        <v>0.45590000000000003</v>
      </c>
    </row>
    <row r="367" spans="1:9" x14ac:dyDescent="0.25">
      <c r="A367" s="114"/>
      <c r="B367" s="111" t="s">
        <v>17</v>
      </c>
      <c r="C367" s="46" t="s">
        <v>16</v>
      </c>
      <c r="D367" s="10">
        <f>D368</f>
        <v>11713.1</v>
      </c>
      <c r="E367" s="10">
        <f t="shared" ref="E367:G367" si="65">E368</f>
        <v>11713.1</v>
      </c>
      <c r="F367" s="10">
        <f t="shared" si="65"/>
        <v>6750.4</v>
      </c>
      <c r="G367" s="10">
        <f t="shared" si="65"/>
        <v>6750.4</v>
      </c>
      <c r="H367" s="37" t="s">
        <v>172</v>
      </c>
      <c r="I367" s="12">
        <f>ROUND(G367/E367,4)</f>
        <v>0.57630000000000003</v>
      </c>
    </row>
    <row r="368" spans="1:9" ht="31.5" x14ac:dyDescent="0.25">
      <c r="A368" s="149"/>
      <c r="B368" s="160"/>
      <c r="C368" s="47" t="s">
        <v>13</v>
      </c>
      <c r="D368" s="7">
        <f>D365+D366</f>
        <v>11713.1</v>
      </c>
      <c r="E368" s="7">
        <f t="shared" ref="E368:F368" si="66">E365+E366</f>
        <v>11713.1</v>
      </c>
      <c r="F368" s="7">
        <f t="shared" si="66"/>
        <v>6750.4</v>
      </c>
      <c r="G368" s="7">
        <f>G365+G366</f>
        <v>6750.4</v>
      </c>
      <c r="H368" s="16" t="s">
        <v>172</v>
      </c>
      <c r="I368" s="9">
        <f>ROUND(G368/E368,4)</f>
        <v>0.57630000000000003</v>
      </c>
    </row>
    <row r="369" spans="1:9" ht="15.75" customHeight="1" x14ac:dyDescent="0.25">
      <c r="A369" s="117" t="s">
        <v>121</v>
      </c>
      <c r="B369" s="118"/>
      <c r="C369" s="118"/>
      <c r="D369" s="118"/>
      <c r="E369" s="118"/>
      <c r="F369" s="118"/>
      <c r="G369" s="118"/>
      <c r="H369" s="118"/>
      <c r="I369" s="119"/>
    </row>
    <row r="370" spans="1:9" ht="126" x14ac:dyDescent="0.25">
      <c r="A370" s="28"/>
      <c r="B370" s="29" t="s">
        <v>91</v>
      </c>
      <c r="C370" s="47" t="s">
        <v>13</v>
      </c>
      <c r="D370" s="23">
        <v>0</v>
      </c>
      <c r="E370" s="23">
        <v>0</v>
      </c>
      <c r="F370" s="23">
        <v>0</v>
      </c>
      <c r="G370" s="23">
        <v>0</v>
      </c>
      <c r="H370" s="16" t="s">
        <v>172</v>
      </c>
      <c r="I370" s="9">
        <v>0</v>
      </c>
    </row>
    <row r="371" spans="1:9" x14ac:dyDescent="0.25">
      <c r="A371" s="124"/>
      <c r="B371" s="125" t="s">
        <v>17</v>
      </c>
      <c r="C371" s="46" t="s">
        <v>16</v>
      </c>
      <c r="D371" s="10">
        <f>D372</f>
        <v>0</v>
      </c>
      <c r="E371" s="10">
        <f>E372</f>
        <v>0</v>
      </c>
      <c r="F371" s="10">
        <f>F372</f>
        <v>0</v>
      </c>
      <c r="G371" s="10">
        <f>G372</f>
        <v>0</v>
      </c>
      <c r="H371" s="16" t="s">
        <v>172</v>
      </c>
      <c r="I371" s="9">
        <v>0</v>
      </c>
    </row>
    <row r="372" spans="1:9" ht="31.5" x14ac:dyDescent="0.25">
      <c r="A372" s="124"/>
      <c r="B372" s="126"/>
      <c r="C372" s="47" t="s">
        <v>13</v>
      </c>
      <c r="D372" s="7">
        <f>D370</f>
        <v>0</v>
      </c>
      <c r="E372" s="7">
        <f>E370</f>
        <v>0</v>
      </c>
      <c r="F372" s="7">
        <f>F370</f>
        <v>0</v>
      </c>
      <c r="G372" s="7">
        <f>G370</f>
        <v>0</v>
      </c>
      <c r="H372" s="16" t="s">
        <v>172</v>
      </c>
      <c r="I372" s="9">
        <v>0</v>
      </c>
    </row>
    <row r="373" spans="1:9" ht="15.75" customHeight="1" x14ac:dyDescent="0.25">
      <c r="A373" s="117" t="s">
        <v>155</v>
      </c>
      <c r="B373" s="118"/>
      <c r="C373" s="118"/>
      <c r="D373" s="118"/>
      <c r="E373" s="118"/>
      <c r="F373" s="118"/>
      <c r="G373" s="118"/>
      <c r="H373" s="118"/>
      <c r="I373" s="119"/>
    </row>
    <row r="374" spans="1:9" ht="63" x14ac:dyDescent="0.25">
      <c r="A374" s="55"/>
      <c r="B374" s="48" t="s">
        <v>120</v>
      </c>
      <c r="C374" s="47" t="s">
        <v>13</v>
      </c>
      <c r="D374" s="7">
        <v>0</v>
      </c>
      <c r="E374" s="7">
        <v>0</v>
      </c>
      <c r="F374" s="7">
        <v>0</v>
      </c>
      <c r="G374" s="7">
        <v>0</v>
      </c>
      <c r="H374" s="16" t="s">
        <v>172</v>
      </c>
      <c r="I374" s="9">
        <v>0</v>
      </c>
    </row>
    <row r="375" spans="1:9" x14ac:dyDescent="0.25">
      <c r="A375" s="114"/>
      <c r="B375" s="106" t="s">
        <v>17</v>
      </c>
      <c r="C375" s="46" t="s">
        <v>16</v>
      </c>
      <c r="D375" s="10">
        <f>D376</f>
        <v>0</v>
      </c>
      <c r="E375" s="10">
        <f>E376</f>
        <v>0</v>
      </c>
      <c r="F375" s="10">
        <f>F376</f>
        <v>0</v>
      </c>
      <c r="G375" s="10">
        <f>G376</f>
        <v>0</v>
      </c>
      <c r="H375" s="37" t="s">
        <v>172</v>
      </c>
      <c r="I375" s="9">
        <v>0</v>
      </c>
    </row>
    <row r="376" spans="1:9" ht="31.5" x14ac:dyDescent="0.25">
      <c r="A376" s="123"/>
      <c r="B376" s="145"/>
      <c r="C376" s="47" t="s">
        <v>13</v>
      </c>
      <c r="D376" s="7">
        <f>D374</f>
        <v>0</v>
      </c>
      <c r="E376" s="7">
        <f>E374</f>
        <v>0</v>
      </c>
      <c r="F376" s="7">
        <f>F374</f>
        <v>0</v>
      </c>
      <c r="G376" s="7">
        <f>G374</f>
        <v>0</v>
      </c>
      <c r="H376" s="16" t="s">
        <v>172</v>
      </c>
      <c r="I376" s="9">
        <v>0</v>
      </c>
    </row>
    <row r="377" spans="1:9" ht="15.75" customHeight="1" x14ac:dyDescent="0.25">
      <c r="A377" s="117" t="s">
        <v>119</v>
      </c>
      <c r="B377" s="118"/>
      <c r="C377" s="118"/>
      <c r="D377" s="118"/>
      <c r="E377" s="118"/>
      <c r="F377" s="118"/>
      <c r="G377" s="118"/>
      <c r="H377" s="118"/>
      <c r="I377" s="119"/>
    </row>
    <row r="378" spans="1:9" ht="252" x14ac:dyDescent="0.25">
      <c r="A378" s="40"/>
      <c r="B378" s="47" t="s">
        <v>207</v>
      </c>
      <c r="C378" s="47" t="s">
        <v>13</v>
      </c>
      <c r="D378" s="7">
        <v>0</v>
      </c>
      <c r="E378" s="7">
        <v>0</v>
      </c>
      <c r="F378" s="7">
        <v>0</v>
      </c>
      <c r="G378" s="7">
        <v>0</v>
      </c>
      <c r="H378" s="16" t="s">
        <v>172</v>
      </c>
      <c r="I378" s="9">
        <v>0</v>
      </c>
    </row>
    <row r="379" spans="1:9" x14ac:dyDescent="0.25">
      <c r="A379" s="122"/>
      <c r="B379" s="106" t="s">
        <v>17</v>
      </c>
      <c r="C379" s="46" t="s">
        <v>171</v>
      </c>
      <c r="D379" s="10">
        <f>D380</f>
        <v>0</v>
      </c>
      <c r="E379" s="10">
        <f>E380</f>
        <v>0</v>
      </c>
      <c r="F379" s="10">
        <f>F380</f>
        <v>0</v>
      </c>
      <c r="G379" s="10">
        <f>G380</f>
        <v>0</v>
      </c>
      <c r="H379" s="37" t="s">
        <v>172</v>
      </c>
      <c r="I379" s="12">
        <v>0</v>
      </c>
    </row>
    <row r="380" spans="1:9" ht="31.5" x14ac:dyDescent="0.25">
      <c r="A380" s="123"/>
      <c r="B380" s="156"/>
      <c r="C380" s="47" t="s">
        <v>13</v>
      </c>
      <c r="D380" s="7">
        <f>D378</f>
        <v>0</v>
      </c>
      <c r="E380" s="7">
        <f>E378</f>
        <v>0</v>
      </c>
      <c r="F380" s="7">
        <f>F378</f>
        <v>0</v>
      </c>
      <c r="G380" s="7">
        <f>G378</f>
        <v>0</v>
      </c>
      <c r="H380" s="16" t="s">
        <v>172</v>
      </c>
      <c r="I380" s="9">
        <v>0</v>
      </c>
    </row>
    <row r="381" spans="1:9" ht="15.75" customHeight="1" x14ac:dyDescent="0.25">
      <c r="A381" s="117" t="s">
        <v>118</v>
      </c>
      <c r="B381" s="118"/>
      <c r="C381" s="118"/>
      <c r="D381" s="118"/>
      <c r="E381" s="118"/>
      <c r="F381" s="118"/>
      <c r="G381" s="118"/>
      <c r="H381" s="118"/>
      <c r="I381" s="119"/>
    </row>
    <row r="382" spans="1:9" ht="94.5" x14ac:dyDescent="0.25">
      <c r="A382" s="40"/>
      <c r="B382" s="47" t="s">
        <v>100</v>
      </c>
      <c r="C382" s="47" t="s">
        <v>13</v>
      </c>
      <c r="D382" s="7">
        <v>820</v>
      </c>
      <c r="E382" s="7">
        <v>820</v>
      </c>
      <c r="F382" s="7">
        <v>820</v>
      </c>
      <c r="G382" s="7">
        <v>791.6</v>
      </c>
      <c r="H382" s="16" t="s">
        <v>172</v>
      </c>
      <c r="I382" s="9">
        <f t="shared" ref="I382:I398" si="67">ROUND(G382/E382,4)</f>
        <v>0.96540000000000004</v>
      </c>
    </row>
    <row r="383" spans="1:9" ht="31.5" x14ac:dyDescent="0.25">
      <c r="A383" s="40"/>
      <c r="B383" s="47" t="s">
        <v>144</v>
      </c>
      <c r="C383" s="47" t="s">
        <v>13</v>
      </c>
      <c r="D383" s="7">
        <v>10036.5</v>
      </c>
      <c r="E383" s="7">
        <v>10036.5</v>
      </c>
      <c r="F383" s="7">
        <v>8392.9</v>
      </c>
      <c r="G383" s="7">
        <v>8390.2999999999993</v>
      </c>
      <c r="H383" s="16" t="s">
        <v>172</v>
      </c>
      <c r="I383" s="9">
        <f t="shared" si="67"/>
        <v>0.83599999999999997</v>
      </c>
    </row>
    <row r="384" spans="1:9" ht="47.25" x14ac:dyDescent="0.25">
      <c r="A384" s="40"/>
      <c r="B384" s="47" t="s">
        <v>241</v>
      </c>
      <c r="C384" s="47" t="s">
        <v>13</v>
      </c>
      <c r="D384" s="7">
        <v>208</v>
      </c>
      <c r="E384" s="7">
        <v>208</v>
      </c>
      <c r="F384" s="7">
        <v>102</v>
      </c>
      <c r="G384" s="7">
        <v>102</v>
      </c>
      <c r="H384" s="16" t="s">
        <v>172</v>
      </c>
      <c r="I384" s="9">
        <f t="shared" si="67"/>
        <v>0.4904</v>
      </c>
    </row>
    <row r="385" spans="1:9" x14ac:dyDescent="0.25">
      <c r="A385" s="122"/>
      <c r="B385" s="106" t="s">
        <v>17</v>
      </c>
      <c r="C385" s="46" t="s">
        <v>16</v>
      </c>
      <c r="D385" s="10">
        <f>D386</f>
        <v>11064.5</v>
      </c>
      <c r="E385" s="10">
        <f t="shared" ref="E385:G385" si="68">E386</f>
        <v>11064.5</v>
      </c>
      <c r="F385" s="10">
        <f t="shared" si="68"/>
        <v>9314.9</v>
      </c>
      <c r="G385" s="10">
        <f t="shared" si="68"/>
        <v>9284</v>
      </c>
      <c r="H385" s="16" t="s">
        <v>172</v>
      </c>
      <c r="I385" s="9">
        <f t="shared" si="67"/>
        <v>0.83909999999999996</v>
      </c>
    </row>
    <row r="386" spans="1:9" ht="31.5" x14ac:dyDescent="0.25">
      <c r="A386" s="149"/>
      <c r="B386" s="120"/>
      <c r="C386" s="47" t="s">
        <v>13</v>
      </c>
      <c r="D386" s="7">
        <f>D382+D383+D384</f>
        <v>11064.5</v>
      </c>
      <c r="E386" s="7">
        <f t="shared" ref="E386:G386" si="69">E382+E383+E384</f>
        <v>11064.5</v>
      </c>
      <c r="F386" s="7">
        <f t="shared" si="69"/>
        <v>9314.9</v>
      </c>
      <c r="G386" s="7">
        <f>G382+G383+G384+0.1</f>
        <v>9284</v>
      </c>
      <c r="H386" s="16" t="s">
        <v>172</v>
      </c>
      <c r="I386" s="9">
        <f t="shared" si="67"/>
        <v>0.83909999999999996</v>
      </c>
    </row>
    <row r="387" spans="1:9" ht="15.75" customHeight="1" x14ac:dyDescent="0.25">
      <c r="A387" s="117" t="s">
        <v>242</v>
      </c>
      <c r="B387" s="118"/>
      <c r="C387" s="118"/>
      <c r="D387" s="118"/>
      <c r="E387" s="118"/>
      <c r="F387" s="118"/>
      <c r="G387" s="118"/>
      <c r="H387" s="118"/>
      <c r="I387" s="119"/>
    </row>
    <row r="388" spans="1:9" ht="31.5" x14ac:dyDescent="0.25">
      <c r="A388" s="55"/>
      <c r="B388" s="108" t="s">
        <v>243</v>
      </c>
      <c r="C388" s="47" t="s">
        <v>191</v>
      </c>
      <c r="D388" s="7">
        <v>4402.3</v>
      </c>
      <c r="E388" s="7">
        <v>4402.3</v>
      </c>
      <c r="F388" s="7">
        <v>4402.3</v>
      </c>
      <c r="G388" s="7">
        <v>4402.3</v>
      </c>
      <c r="H388" s="16" t="s">
        <v>172</v>
      </c>
      <c r="I388" s="9">
        <f t="shared" ref="I388" si="70">ROUND(G388/E388,4)</f>
        <v>1</v>
      </c>
    </row>
    <row r="389" spans="1:9" ht="47.25" x14ac:dyDescent="0.25">
      <c r="A389" s="55"/>
      <c r="B389" s="121"/>
      <c r="C389" s="47" t="s">
        <v>15</v>
      </c>
      <c r="D389" s="7">
        <v>1977.2</v>
      </c>
      <c r="E389" s="7">
        <v>1977.2</v>
      </c>
      <c r="F389" s="7">
        <v>1977.2</v>
      </c>
      <c r="G389" s="7">
        <v>1977.2</v>
      </c>
      <c r="H389" s="16" t="s">
        <v>172</v>
      </c>
      <c r="I389" s="9">
        <f t="shared" ref="I389:I394" si="71">ROUND(G389/E389,4)</f>
        <v>1</v>
      </c>
    </row>
    <row r="390" spans="1:9" ht="31.5" x14ac:dyDescent="0.25">
      <c r="A390" s="55"/>
      <c r="B390" s="109"/>
      <c r="C390" s="47" t="s">
        <v>244</v>
      </c>
      <c r="D390" s="7">
        <v>0.7</v>
      </c>
      <c r="E390" s="7">
        <v>0.7</v>
      </c>
      <c r="F390" s="7">
        <v>0.7</v>
      </c>
      <c r="G390" s="7">
        <v>0.7</v>
      </c>
      <c r="H390" s="16" t="s">
        <v>172</v>
      </c>
      <c r="I390" s="9">
        <f t="shared" si="71"/>
        <v>1</v>
      </c>
    </row>
    <row r="391" spans="1:9" x14ac:dyDescent="0.25">
      <c r="A391" s="55"/>
      <c r="B391" s="106" t="s">
        <v>17</v>
      </c>
      <c r="C391" s="46" t="s">
        <v>16</v>
      </c>
      <c r="D391" s="10">
        <f>D392+D393+D394</f>
        <v>6380.2</v>
      </c>
      <c r="E391" s="10">
        <f>E392+E393+E394</f>
        <v>6380.2</v>
      </c>
      <c r="F391" s="10">
        <f t="shared" ref="F391:G391" si="72">F392+F393+F394</f>
        <v>6380.2</v>
      </c>
      <c r="G391" s="10">
        <f t="shared" si="72"/>
        <v>6380.2</v>
      </c>
      <c r="H391" s="16" t="s">
        <v>172</v>
      </c>
      <c r="I391" s="9">
        <f t="shared" si="71"/>
        <v>1</v>
      </c>
    </row>
    <row r="392" spans="1:9" ht="31.5" x14ac:dyDescent="0.25">
      <c r="A392" s="55"/>
      <c r="B392" s="120"/>
      <c r="C392" s="47" t="s">
        <v>13</v>
      </c>
      <c r="D392" s="7">
        <f>D390</f>
        <v>0.7</v>
      </c>
      <c r="E392" s="7">
        <f>E390</f>
        <v>0.7</v>
      </c>
      <c r="F392" s="7">
        <f t="shared" ref="F392:G392" si="73">F390</f>
        <v>0.7</v>
      </c>
      <c r="G392" s="7">
        <f t="shared" si="73"/>
        <v>0.7</v>
      </c>
      <c r="H392" s="16" t="s">
        <v>172</v>
      </c>
      <c r="I392" s="9">
        <f t="shared" si="71"/>
        <v>1</v>
      </c>
    </row>
    <row r="393" spans="1:9" ht="31.5" x14ac:dyDescent="0.25">
      <c r="A393" s="55"/>
      <c r="B393" s="56"/>
      <c r="C393" s="47" t="s">
        <v>191</v>
      </c>
      <c r="D393" s="7">
        <f>D388</f>
        <v>4402.3</v>
      </c>
      <c r="E393" s="7">
        <f>E388</f>
        <v>4402.3</v>
      </c>
      <c r="F393" s="7">
        <f t="shared" ref="F393:G393" si="74">F388</f>
        <v>4402.3</v>
      </c>
      <c r="G393" s="7">
        <f t="shared" si="74"/>
        <v>4402.3</v>
      </c>
      <c r="H393" s="16" t="s">
        <v>172</v>
      </c>
      <c r="I393" s="9">
        <f t="shared" si="71"/>
        <v>1</v>
      </c>
    </row>
    <row r="394" spans="1:9" ht="47.25" x14ac:dyDescent="0.25">
      <c r="A394" s="55"/>
      <c r="B394" s="56"/>
      <c r="C394" s="47" t="s">
        <v>15</v>
      </c>
      <c r="D394" s="7">
        <f>D389</f>
        <v>1977.2</v>
      </c>
      <c r="E394" s="7">
        <f>E389</f>
        <v>1977.2</v>
      </c>
      <c r="F394" s="7">
        <f t="shared" ref="F394:G394" si="75">F389</f>
        <v>1977.2</v>
      </c>
      <c r="G394" s="7">
        <f t="shared" si="75"/>
        <v>1977.2</v>
      </c>
      <c r="H394" s="16" t="s">
        <v>172</v>
      </c>
      <c r="I394" s="9">
        <f t="shared" si="71"/>
        <v>1</v>
      </c>
    </row>
    <row r="395" spans="1:9" x14ac:dyDescent="0.25">
      <c r="A395" s="144"/>
      <c r="B395" s="106" t="s">
        <v>14</v>
      </c>
      <c r="C395" s="46" t="s">
        <v>16</v>
      </c>
      <c r="D395" s="10">
        <f>D396+D397+D398</f>
        <v>230712.74999999997</v>
      </c>
      <c r="E395" s="10">
        <f t="shared" ref="E395:G395" si="76">E396+E397+E398</f>
        <v>230574.55</v>
      </c>
      <c r="F395" s="10">
        <f t="shared" si="76"/>
        <v>211898</v>
      </c>
      <c r="G395" s="10">
        <f t="shared" si="76"/>
        <v>211674.1</v>
      </c>
      <c r="H395" s="16" t="s">
        <v>172</v>
      </c>
      <c r="I395" s="9">
        <f t="shared" si="67"/>
        <v>0.91800000000000004</v>
      </c>
    </row>
    <row r="396" spans="1:9" ht="31.5" x14ac:dyDescent="0.25">
      <c r="A396" s="146"/>
      <c r="B396" s="110"/>
      <c r="C396" s="47" t="s">
        <v>101</v>
      </c>
      <c r="D396" s="7">
        <f>D352+D393</f>
        <v>115135.59999999999</v>
      </c>
      <c r="E396" s="7">
        <f>E352+E393</f>
        <v>115135.59999999999</v>
      </c>
      <c r="F396" s="7">
        <f t="shared" ref="F396:G396" si="77">F352+F393</f>
        <v>115135.7</v>
      </c>
      <c r="G396" s="7">
        <f t="shared" si="77"/>
        <v>115135.7</v>
      </c>
      <c r="H396" s="16" t="s">
        <v>172</v>
      </c>
      <c r="I396" s="9">
        <f t="shared" si="67"/>
        <v>1</v>
      </c>
    </row>
    <row r="397" spans="1:9" s="85" customFormat="1" ht="31.5" x14ac:dyDescent="0.25">
      <c r="A397" s="146"/>
      <c r="B397" s="121"/>
      <c r="C397" s="47" t="s">
        <v>13</v>
      </c>
      <c r="D397" s="7">
        <f>D354+D363+D368+D372+D376+D380+D386+D392</f>
        <v>54586.04</v>
      </c>
      <c r="E397" s="7">
        <f>E354+E363+E368+E372+E376+E380+E386+E392+0.1</f>
        <v>54447.839999999997</v>
      </c>
      <c r="F397" s="7">
        <f>F354+F363+F368+F372+F376+F380+F386+F392-0.1</f>
        <v>35771.200000000004</v>
      </c>
      <c r="G397" s="7">
        <f t="shared" ref="E397:G397" si="78">G354+G363+G368+G372+G376+G380+G386+G392</f>
        <v>35547.4</v>
      </c>
      <c r="H397" s="16" t="s">
        <v>172</v>
      </c>
      <c r="I397" s="9">
        <f t="shared" si="67"/>
        <v>0.65290000000000004</v>
      </c>
    </row>
    <row r="398" spans="1:9" s="86" customFormat="1" ht="47.25" x14ac:dyDescent="0.25">
      <c r="A398" s="149"/>
      <c r="B398" s="128"/>
      <c r="C398" s="30" t="s">
        <v>15</v>
      </c>
      <c r="D398" s="7">
        <f>D353+D362+D394</f>
        <v>60991.109999999993</v>
      </c>
      <c r="E398" s="7">
        <f t="shared" ref="E398:F398" si="79">E353+E362+E394</f>
        <v>60991.109999999993</v>
      </c>
      <c r="F398" s="7">
        <f t="shared" si="79"/>
        <v>60991.099999999991</v>
      </c>
      <c r="G398" s="7">
        <f>G353+G362+G394-0.1</f>
        <v>60990.999999999993</v>
      </c>
      <c r="H398" s="16" t="s">
        <v>172</v>
      </c>
      <c r="I398" s="9">
        <f t="shared" si="67"/>
        <v>1</v>
      </c>
    </row>
    <row r="399" spans="1:9" x14ac:dyDescent="0.25">
      <c r="A399" s="1">
        <v>17</v>
      </c>
      <c r="B399" s="130" t="s">
        <v>107</v>
      </c>
      <c r="C399" s="131"/>
      <c r="D399" s="131"/>
      <c r="E399" s="131"/>
      <c r="F399" s="131"/>
      <c r="G399" s="131"/>
      <c r="H399" s="131"/>
      <c r="I399" s="132"/>
    </row>
    <row r="400" spans="1:9" ht="31.5" x14ac:dyDescent="0.25">
      <c r="A400" s="31"/>
      <c r="B400" s="47" t="s">
        <v>108</v>
      </c>
      <c r="C400" s="47" t="s">
        <v>13</v>
      </c>
      <c r="D400" s="7">
        <v>376</v>
      </c>
      <c r="E400" s="7">
        <v>224.5</v>
      </c>
      <c r="F400" s="7">
        <v>196.5</v>
      </c>
      <c r="G400" s="7">
        <v>196.5</v>
      </c>
      <c r="H400" s="19" t="s">
        <v>173</v>
      </c>
      <c r="I400" s="20">
        <f>G400/D400</f>
        <v>0.52260638297872342</v>
      </c>
    </row>
    <row r="401" spans="1:11" ht="78.75" x14ac:dyDescent="0.25">
      <c r="A401" s="49"/>
      <c r="B401" s="48" t="s">
        <v>145</v>
      </c>
      <c r="C401" s="30" t="s">
        <v>15</v>
      </c>
      <c r="D401" s="7">
        <v>1515</v>
      </c>
      <c r="E401" s="7">
        <v>1515</v>
      </c>
      <c r="F401" s="7">
        <v>1010</v>
      </c>
      <c r="G401" s="7">
        <v>1000</v>
      </c>
      <c r="H401" s="8" t="s">
        <v>173</v>
      </c>
      <c r="I401" s="20">
        <f t="shared" ref="I401:I404" si="80">G401/D401</f>
        <v>0.66006600660066006</v>
      </c>
    </row>
    <row r="402" spans="1:11" x14ac:dyDescent="0.25">
      <c r="A402" s="144"/>
      <c r="B402" s="106" t="s">
        <v>14</v>
      </c>
      <c r="C402" s="46" t="s">
        <v>16</v>
      </c>
      <c r="D402" s="10">
        <f>D403+D404</f>
        <v>1891</v>
      </c>
      <c r="E402" s="10">
        <f t="shared" ref="E402:G402" si="81">E403+E404</f>
        <v>1739.5</v>
      </c>
      <c r="F402" s="10">
        <f t="shared" si="81"/>
        <v>1206.5</v>
      </c>
      <c r="G402" s="10">
        <f t="shared" si="81"/>
        <v>1196.5</v>
      </c>
      <c r="H402" s="42" t="s">
        <v>172</v>
      </c>
      <c r="I402" s="76">
        <f t="shared" si="80"/>
        <v>0.63273400317292439</v>
      </c>
    </row>
    <row r="403" spans="1:11" s="85" customFormat="1" ht="31.5" x14ac:dyDescent="0.25">
      <c r="A403" s="146"/>
      <c r="B403" s="110"/>
      <c r="C403" s="47" t="s">
        <v>13</v>
      </c>
      <c r="D403" s="7">
        <f>D400</f>
        <v>376</v>
      </c>
      <c r="E403" s="7">
        <f t="shared" ref="E403:G403" si="82">E400</f>
        <v>224.5</v>
      </c>
      <c r="F403" s="7">
        <f t="shared" si="82"/>
        <v>196.5</v>
      </c>
      <c r="G403" s="7">
        <f t="shared" si="82"/>
        <v>196.5</v>
      </c>
      <c r="H403" s="19" t="s">
        <v>172</v>
      </c>
      <c r="I403" s="20">
        <f t="shared" si="80"/>
        <v>0.52260638297872342</v>
      </c>
    </row>
    <row r="404" spans="1:11" s="86" customFormat="1" ht="47.25" x14ac:dyDescent="0.25">
      <c r="A404" s="51"/>
      <c r="B404" s="110"/>
      <c r="C404" s="30" t="s">
        <v>15</v>
      </c>
      <c r="D404" s="7">
        <f>D401</f>
        <v>1515</v>
      </c>
      <c r="E404" s="7">
        <f t="shared" ref="E404:G404" si="83">E401</f>
        <v>1515</v>
      </c>
      <c r="F404" s="7">
        <f t="shared" si="83"/>
        <v>1010</v>
      </c>
      <c r="G404" s="7">
        <f t="shared" si="83"/>
        <v>1000</v>
      </c>
      <c r="H404" s="8" t="s">
        <v>172</v>
      </c>
      <c r="I404" s="20">
        <f t="shared" si="80"/>
        <v>0.66006600660066006</v>
      </c>
    </row>
    <row r="405" spans="1:11" ht="36" customHeight="1" x14ac:dyDescent="0.25">
      <c r="A405" s="46">
        <v>18</v>
      </c>
      <c r="B405" s="130" t="s">
        <v>147</v>
      </c>
      <c r="C405" s="131"/>
      <c r="D405" s="131"/>
      <c r="E405" s="131"/>
      <c r="F405" s="131"/>
      <c r="G405" s="131"/>
      <c r="H405" s="131"/>
      <c r="I405" s="132"/>
      <c r="J405" s="162"/>
      <c r="K405" s="163"/>
    </row>
    <row r="406" spans="1:11" s="86" customFormat="1" ht="78.75" x14ac:dyDescent="0.25">
      <c r="A406" s="43"/>
      <c r="B406" s="47" t="s">
        <v>148</v>
      </c>
      <c r="C406" s="47" t="s">
        <v>13</v>
      </c>
      <c r="D406" s="7">
        <v>57.4</v>
      </c>
      <c r="E406" s="7">
        <v>57.4</v>
      </c>
      <c r="F406" s="7">
        <v>57.4</v>
      </c>
      <c r="G406" s="7">
        <v>57.4</v>
      </c>
      <c r="H406" s="8" t="s">
        <v>172</v>
      </c>
      <c r="I406" s="9">
        <f t="shared" ref="I400:I414" si="84">ROUND(G406/E406,4)</f>
        <v>1</v>
      </c>
    </row>
    <row r="407" spans="1:11" s="86" customFormat="1" ht="94.5" x14ac:dyDescent="0.25">
      <c r="A407" s="43"/>
      <c r="B407" s="47" t="s">
        <v>149</v>
      </c>
      <c r="C407" s="47" t="s">
        <v>13</v>
      </c>
      <c r="D407" s="7">
        <v>25</v>
      </c>
      <c r="E407" s="7">
        <v>25</v>
      </c>
      <c r="F407" s="7">
        <v>25</v>
      </c>
      <c r="G407" s="7">
        <v>25</v>
      </c>
      <c r="H407" s="8" t="s">
        <v>172</v>
      </c>
      <c r="I407" s="9">
        <v>1</v>
      </c>
    </row>
    <row r="408" spans="1:11" s="86" customFormat="1" ht="31.5" customHeight="1" x14ac:dyDescent="0.25">
      <c r="A408" s="43"/>
      <c r="B408" s="47" t="s">
        <v>150</v>
      </c>
      <c r="C408" s="47" t="s">
        <v>13</v>
      </c>
      <c r="D408" s="7">
        <v>31</v>
      </c>
      <c r="E408" s="7">
        <v>30.5</v>
      </c>
      <c r="F408" s="7">
        <v>30.5</v>
      </c>
      <c r="G408" s="7">
        <v>30.5</v>
      </c>
      <c r="H408" s="8" t="s">
        <v>172</v>
      </c>
      <c r="I408" s="9">
        <f>G408/D408</f>
        <v>0.9838709677419355</v>
      </c>
    </row>
    <row r="409" spans="1:11" s="86" customFormat="1" ht="31.5" customHeight="1" x14ac:dyDescent="0.25">
      <c r="A409" s="44"/>
      <c r="B409" s="45" t="s">
        <v>14</v>
      </c>
      <c r="C409" s="46" t="s">
        <v>13</v>
      </c>
      <c r="D409" s="10">
        <f>D406+D407+D408</f>
        <v>113.4</v>
      </c>
      <c r="E409" s="10">
        <f>E406+E407+E408</f>
        <v>112.9</v>
      </c>
      <c r="F409" s="10">
        <f>F406+F407+F408</f>
        <v>112.9</v>
      </c>
      <c r="G409" s="10">
        <f>G406+G407+G408</f>
        <v>112.9</v>
      </c>
      <c r="H409" s="11" t="s">
        <v>172</v>
      </c>
      <c r="I409" s="12">
        <f>G409/D409</f>
        <v>0.99559082892416229</v>
      </c>
    </row>
    <row r="410" spans="1:11" s="5" customFormat="1" ht="15.75" customHeight="1" x14ac:dyDescent="0.25">
      <c r="A410" s="144"/>
      <c r="B410" s="106" t="s">
        <v>45</v>
      </c>
      <c r="C410" s="25" t="s">
        <v>16</v>
      </c>
      <c r="D410" s="26">
        <f>D412+D413+D414+D411</f>
        <v>4557994.2200000007</v>
      </c>
      <c r="E410" s="26">
        <f t="shared" ref="E410:G410" si="85">E412+E413+E414+E411</f>
        <v>4502465.1400000006</v>
      </c>
      <c r="F410" s="26">
        <f t="shared" si="85"/>
        <v>4351125.5199999996</v>
      </c>
      <c r="G410" s="26">
        <f t="shared" si="85"/>
        <v>4346860.59</v>
      </c>
      <c r="H410" s="11" t="s">
        <v>172</v>
      </c>
      <c r="I410" s="12">
        <f>G410/D410</f>
        <v>0.95367839014065248</v>
      </c>
    </row>
    <row r="411" spans="1:11" s="5" customFormat="1" ht="31.5" customHeight="1" x14ac:dyDescent="0.25">
      <c r="A411" s="146"/>
      <c r="B411" s="110"/>
      <c r="C411" s="47" t="s">
        <v>101</v>
      </c>
      <c r="D411" s="23">
        <f>D98+D107+D396+D161</f>
        <v>356520.9</v>
      </c>
      <c r="E411" s="23">
        <f>E98+E107+E396+E161</f>
        <v>356520.9</v>
      </c>
      <c r="F411" s="23">
        <f>F98+F107+F396+F161</f>
        <v>356521</v>
      </c>
      <c r="G411" s="23">
        <f>G98+G107+G396+G161</f>
        <v>356521.1</v>
      </c>
      <c r="H411" s="8" t="s">
        <v>172</v>
      </c>
      <c r="I411" s="9">
        <f t="shared" ref="I411:I414" si="86">G411/D411</f>
        <v>1.00000056097693</v>
      </c>
    </row>
    <row r="412" spans="1:11" s="5" customFormat="1" ht="31.5" x14ac:dyDescent="0.25">
      <c r="A412" s="124"/>
      <c r="B412" s="125"/>
      <c r="C412" s="47" t="s">
        <v>13</v>
      </c>
      <c r="D412" s="7">
        <f>D96+D108+D122+D128+D159+D165+D182+D201+D217+D224+D230+D247+D310+D329+D397+D403+D409</f>
        <v>2098025.11</v>
      </c>
      <c r="E412" s="7">
        <f>E96+E108+E122+E128+E159+E165+E182+E201+E217+E224+E230+E247+E310+E329+E397+E403+E409-0.2</f>
        <v>2088636.9599999997</v>
      </c>
      <c r="F412" s="7">
        <f>F96+F108+F122+F128+F159+F165+F182+F201+F217+F224+F230+F247+F310+F329+F397+F403+F409</f>
        <v>1951918.7000000002</v>
      </c>
      <c r="G412" s="7">
        <f>G96+G108+G122+G128+G159+G165+G182+G201+G217+G224+G230+G247+G310+G329+G397+G403+G409</f>
        <v>1948185.1700000002</v>
      </c>
      <c r="H412" s="8" t="s">
        <v>172</v>
      </c>
      <c r="I412" s="9">
        <f t="shared" si="86"/>
        <v>0.92858048300480078</v>
      </c>
    </row>
    <row r="413" spans="1:11" s="5" customFormat="1" ht="31.5" x14ac:dyDescent="0.25">
      <c r="A413" s="146"/>
      <c r="B413" s="110"/>
      <c r="C413" s="47" t="s">
        <v>47</v>
      </c>
      <c r="D413" s="7">
        <f>D312+0.1</f>
        <v>4850.74</v>
      </c>
      <c r="E413" s="7">
        <f>E312+0.1</f>
        <v>4850.74</v>
      </c>
      <c r="F413" s="7">
        <f>F312-0.1</f>
        <v>4850.5</v>
      </c>
      <c r="G413" s="7">
        <f>G312-0.1</f>
        <v>4850.5</v>
      </c>
      <c r="H413" s="8" t="s">
        <v>172</v>
      </c>
      <c r="I413" s="9">
        <f t="shared" si="86"/>
        <v>0.99995052301298359</v>
      </c>
    </row>
    <row r="414" spans="1:11" s="5" customFormat="1" ht="47.25" x14ac:dyDescent="0.25">
      <c r="A414" s="159"/>
      <c r="B414" s="107"/>
      <c r="C414" s="47" t="s">
        <v>15</v>
      </c>
      <c r="D414" s="7">
        <f>D404+D398+D330+D311+D218+D183+D160+D123+D109+D97</f>
        <v>2098597.4700000002</v>
      </c>
      <c r="E414" s="7">
        <f>E404+E398+E330+E311+E218+E183+E160+E123+E109+E97</f>
        <v>2052456.5400000003</v>
      </c>
      <c r="F414" s="7">
        <f>F404+F398+F330+F311+F218+F183+F160+F123+F109+F97</f>
        <v>2037835.3199999998</v>
      </c>
      <c r="G414" s="7">
        <f>G404+G398+G330+G311+G218+G183+G160+G123+G109+G97</f>
        <v>2037303.8199999998</v>
      </c>
      <c r="H414" s="8" t="s">
        <v>172</v>
      </c>
      <c r="I414" s="9">
        <f t="shared" si="86"/>
        <v>0.97079304112569986</v>
      </c>
    </row>
    <row r="415" spans="1:11" s="5" customFormat="1" x14ac:dyDescent="0.25">
      <c r="A415" s="64"/>
      <c r="B415" s="4"/>
      <c r="C415" s="65"/>
      <c r="D415" s="66"/>
      <c r="E415" s="66"/>
      <c r="F415" s="66"/>
      <c r="G415" s="66"/>
      <c r="H415" s="67"/>
      <c r="I415" s="63"/>
    </row>
    <row r="416" spans="1:11" s="5" customFormat="1" x14ac:dyDescent="0.25">
      <c r="A416" s="64"/>
      <c r="B416" s="4"/>
      <c r="C416" s="65"/>
      <c r="D416" s="66"/>
      <c r="E416" s="66"/>
      <c r="F416" s="66"/>
      <c r="G416" s="66"/>
      <c r="H416" s="67"/>
      <c r="I416" s="63"/>
    </row>
    <row r="417" spans="4:7" x14ac:dyDescent="0.25">
      <c r="D417" s="5"/>
      <c r="E417" s="5"/>
      <c r="F417" s="5"/>
      <c r="G417" s="5"/>
    </row>
  </sheetData>
  <autoFilter ref="A7:N414" xr:uid="{D21C9BE8-BA02-4036-BE37-158609E10AD4}">
    <filterColumn colId="7" showButton="0"/>
  </autoFilter>
  <mergeCells count="157">
    <mergeCell ref="B147:B149"/>
    <mergeCell ref="A147:A149"/>
    <mergeCell ref="B153:B154"/>
    <mergeCell ref="J405:K405"/>
    <mergeCell ref="A106:A109"/>
    <mergeCell ref="A187:A188"/>
    <mergeCell ref="B187:B188"/>
    <mergeCell ref="B106:B109"/>
    <mergeCell ref="B178:B180"/>
    <mergeCell ref="B164:B165"/>
    <mergeCell ref="A85:A87"/>
    <mergeCell ref="B124:I124"/>
    <mergeCell ref="B129:I129"/>
    <mergeCell ref="A130:I130"/>
    <mergeCell ref="B184:I184"/>
    <mergeCell ref="A185:I185"/>
    <mergeCell ref="A139:I139"/>
    <mergeCell ref="A150:I150"/>
    <mergeCell ref="B166:I166"/>
    <mergeCell ref="B162:I162"/>
    <mergeCell ref="B136:B138"/>
    <mergeCell ref="A178:A180"/>
    <mergeCell ref="A158:A160"/>
    <mergeCell ref="A155:A156"/>
    <mergeCell ref="A59:A60"/>
    <mergeCell ref="A31:A33"/>
    <mergeCell ref="A23:A26"/>
    <mergeCell ref="B23:B26"/>
    <mergeCell ref="B31:B33"/>
    <mergeCell ref="A95:A98"/>
    <mergeCell ref="B95:B98"/>
    <mergeCell ref="B85:B87"/>
    <mergeCell ref="B27:I27"/>
    <mergeCell ref="B68:B71"/>
    <mergeCell ref="B59:B60"/>
    <mergeCell ref="A88:I88"/>
    <mergeCell ref="B92:B94"/>
    <mergeCell ref="A92:A94"/>
    <mergeCell ref="A6:A7"/>
    <mergeCell ref="B6:B7"/>
    <mergeCell ref="C6:C7"/>
    <mergeCell ref="D6:D7"/>
    <mergeCell ref="E6:E7"/>
    <mergeCell ref="F6:G6"/>
    <mergeCell ref="A4:I4"/>
    <mergeCell ref="A3:I3"/>
    <mergeCell ref="A2:I2"/>
    <mergeCell ref="A1:I1"/>
    <mergeCell ref="A410:A414"/>
    <mergeCell ref="A402:A403"/>
    <mergeCell ref="A351:A354"/>
    <mergeCell ref="A385:A386"/>
    <mergeCell ref="B367:B368"/>
    <mergeCell ref="B385:B386"/>
    <mergeCell ref="B410:B414"/>
    <mergeCell ref="B328:B330"/>
    <mergeCell ref="B307:B308"/>
    <mergeCell ref="A309:A312"/>
    <mergeCell ref="A371:A372"/>
    <mergeCell ref="A367:A368"/>
    <mergeCell ref="A375:A376"/>
    <mergeCell ref="A307:A308"/>
    <mergeCell ref="B371:B372"/>
    <mergeCell ref="B375:B376"/>
    <mergeCell ref="A361:A363"/>
    <mergeCell ref="B361:B363"/>
    <mergeCell ref="B405:I405"/>
    <mergeCell ref="B331:I331"/>
    <mergeCell ref="A332:I332"/>
    <mergeCell ref="A355:I355"/>
    <mergeCell ref="A364:I364"/>
    <mergeCell ref="B402:B404"/>
    <mergeCell ref="B399:I399"/>
    <mergeCell ref="B248:I248"/>
    <mergeCell ref="B379:B380"/>
    <mergeCell ref="A223:A224"/>
    <mergeCell ref="A206:A207"/>
    <mergeCell ref="B198:B199"/>
    <mergeCell ref="B181:B183"/>
    <mergeCell ref="B121:B123"/>
    <mergeCell ref="A121:A123"/>
    <mergeCell ref="A213:A215"/>
    <mergeCell ref="A216:A218"/>
    <mergeCell ref="B193:B194"/>
    <mergeCell ref="A198:A199"/>
    <mergeCell ref="B223:B224"/>
    <mergeCell ref="A193:A194"/>
    <mergeCell ref="B216:B218"/>
    <mergeCell ref="B213:B215"/>
    <mergeCell ref="B206:B207"/>
    <mergeCell ref="B283:B286"/>
    <mergeCell ref="A328:A329"/>
    <mergeCell ref="A301:A304"/>
    <mergeCell ref="A283:A286"/>
    <mergeCell ref="B195:I195"/>
    <mergeCell ref="A136:A138"/>
    <mergeCell ref="A287:I287"/>
    <mergeCell ref="A229:A230"/>
    <mergeCell ref="B351:B354"/>
    <mergeCell ref="B395:B398"/>
    <mergeCell ref="A395:A398"/>
    <mergeCell ref="A200:A201"/>
    <mergeCell ref="B200:B201"/>
    <mergeCell ref="B202:I202"/>
    <mergeCell ref="A164:A165"/>
    <mergeCell ref="A189:I189"/>
    <mergeCell ref="A208:I208"/>
    <mergeCell ref="A249:I249"/>
    <mergeCell ref="A243:I243"/>
    <mergeCell ref="A237:I237"/>
    <mergeCell ref="A232:I232"/>
    <mergeCell ref="B231:I231"/>
    <mergeCell ref="A167:I167"/>
    <mergeCell ref="A373:I373"/>
    <mergeCell ref="A377:I377"/>
    <mergeCell ref="A381:I381"/>
    <mergeCell ref="B219:I219"/>
    <mergeCell ref="B225:I225"/>
    <mergeCell ref="B203:I203"/>
    <mergeCell ref="J34:N34"/>
    <mergeCell ref="J46:N46"/>
    <mergeCell ref="B305:I305"/>
    <mergeCell ref="B313:I313"/>
    <mergeCell ref="B110:I110"/>
    <mergeCell ref="B72:I72"/>
    <mergeCell ref="H6:I7"/>
    <mergeCell ref="B8:I8"/>
    <mergeCell ref="B9:I9"/>
    <mergeCell ref="B43:B45"/>
    <mergeCell ref="B34:I34"/>
    <mergeCell ref="B46:I46"/>
    <mergeCell ref="B99:I99"/>
    <mergeCell ref="A170:I170"/>
    <mergeCell ref="B18:B19"/>
    <mergeCell ref="A18:A19"/>
    <mergeCell ref="A20:A21"/>
    <mergeCell ref="B20:B21"/>
    <mergeCell ref="A43:A45"/>
    <mergeCell ref="A68:A71"/>
    <mergeCell ref="A151:A152"/>
    <mergeCell ref="A127:A128"/>
    <mergeCell ref="B127:B128"/>
    <mergeCell ref="A153:A154"/>
    <mergeCell ref="B151:B152"/>
    <mergeCell ref="B155:B157"/>
    <mergeCell ref="B158:B161"/>
    <mergeCell ref="A347:A349"/>
    <mergeCell ref="B347:B349"/>
    <mergeCell ref="A387:I387"/>
    <mergeCell ref="B391:B392"/>
    <mergeCell ref="B388:B390"/>
    <mergeCell ref="A379:A380"/>
    <mergeCell ref="A181:A183"/>
    <mergeCell ref="B309:B312"/>
    <mergeCell ref="B229:B230"/>
    <mergeCell ref="B301:B304"/>
    <mergeCell ref="A369:I369"/>
  </mergeCells>
  <pageMargins left="0.78740157480314965" right="0.2" top="0.16" bottom="0.17" header="0.16" footer="0.17"/>
  <pageSetup paperSize="9" scale="53" fitToHeight="0" orientation="portrait" r:id="rId1"/>
  <ignoredErrors>
    <ignoredError sqref="G199 D199:F19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отчёт</vt:lpstr>
      <vt:lpstr>отчёт!Область_печати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2026-02-24T13:32:25Z</dcterms:modified>
</cp:coreProperties>
</file>