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8_{93A2BA5E-1CAF-406A-86F1-6D6F135DAD7C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отчёт" sheetId="12" r:id="rId1"/>
  </sheets>
  <definedNames>
    <definedName name="_xlnm._FilterDatabase" localSheetId="0" hidden="1">отчёт!$A$7:$N$392</definedName>
    <definedName name="_xlnm.Print_Area" localSheetId="0">отчёт!$A$1:$I$392</definedName>
  </definedNames>
  <calcPr calcId="191029"/>
</workbook>
</file>

<file path=xl/calcChain.xml><?xml version="1.0" encoding="utf-8"?>
<calcChain xmlns="http://schemas.openxmlformats.org/spreadsheetml/2006/main">
  <c r="E117" i="12" l="1"/>
  <c r="E120" i="12" s="1"/>
  <c r="F286" i="12"/>
  <c r="F285" i="12"/>
  <c r="D387" i="12"/>
  <c r="D354" i="12"/>
  <c r="D350" i="12"/>
  <c r="E381" i="12"/>
  <c r="F381" i="12"/>
  <c r="G381" i="12"/>
  <c r="E382" i="12"/>
  <c r="F382" i="12"/>
  <c r="G382" i="12"/>
  <c r="D381" i="12"/>
  <c r="D382" i="12"/>
  <c r="E331" i="12"/>
  <c r="E332" i="12"/>
  <c r="E330" i="12"/>
  <c r="I367" i="12"/>
  <c r="I368" i="12"/>
  <c r="I366" i="12"/>
  <c r="F370" i="12"/>
  <c r="G370" i="12"/>
  <c r="F371" i="12"/>
  <c r="G371" i="12"/>
  <c r="F372" i="12"/>
  <c r="G372" i="12"/>
  <c r="E370" i="12"/>
  <c r="E371" i="12"/>
  <c r="E372" i="12"/>
  <c r="D372" i="12"/>
  <c r="D371" i="12"/>
  <c r="D370" i="12"/>
  <c r="E364" i="12"/>
  <c r="E363" i="12" s="1"/>
  <c r="F364" i="12"/>
  <c r="F363" i="12" s="1"/>
  <c r="G364" i="12"/>
  <c r="G363" i="12" s="1"/>
  <c r="D364" i="12"/>
  <c r="D363" i="12" s="1"/>
  <c r="I372" i="12" l="1"/>
  <c r="D380" i="12"/>
  <c r="G380" i="12"/>
  <c r="F380" i="12"/>
  <c r="E380" i="12"/>
  <c r="E374" i="12"/>
  <c r="E369" i="12"/>
  <c r="I371" i="12"/>
  <c r="G369" i="12"/>
  <c r="I369" i="12" s="1"/>
  <c r="F369" i="12"/>
  <c r="D369" i="12"/>
  <c r="I370" i="12"/>
  <c r="E346" i="12"/>
  <c r="E345" i="12" s="1"/>
  <c r="F346" i="12"/>
  <c r="F345" i="12" s="1"/>
  <c r="G346" i="12"/>
  <c r="G345" i="12" s="1"/>
  <c r="D346" i="12"/>
  <c r="D345" i="12" s="1"/>
  <c r="E340" i="12"/>
  <c r="E376" i="12" s="1"/>
  <c r="F340" i="12"/>
  <c r="G340" i="12"/>
  <c r="E341" i="12"/>
  <c r="F341" i="12"/>
  <c r="G341" i="12"/>
  <c r="D341" i="12"/>
  <c r="I335" i="12"/>
  <c r="D340" i="12"/>
  <c r="F330" i="12"/>
  <c r="F374" i="12" s="1"/>
  <c r="G330" i="12"/>
  <c r="G374" i="12" s="1"/>
  <c r="F331" i="12"/>
  <c r="G331" i="12"/>
  <c r="F332" i="12"/>
  <c r="G332" i="12"/>
  <c r="D332" i="12"/>
  <c r="D330" i="12"/>
  <c r="D374" i="12" s="1"/>
  <c r="I326" i="12"/>
  <c r="I327" i="12"/>
  <c r="D331" i="12"/>
  <c r="D376" i="12" s="1"/>
  <c r="E299" i="12"/>
  <c r="D299" i="12"/>
  <c r="E298" i="12"/>
  <c r="D298" i="12"/>
  <c r="G296" i="12"/>
  <c r="F296" i="12"/>
  <c r="E296" i="12"/>
  <c r="D296" i="12"/>
  <c r="E297" i="12"/>
  <c r="G284" i="12"/>
  <c r="E285" i="12"/>
  <c r="G285" i="12"/>
  <c r="E286" i="12"/>
  <c r="G286" i="12"/>
  <c r="D286" i="12"/>
  <c r="I273" i="12"/>
  <c r="F272" i="12"/>
  <c r="F284" i="12" s="1"/>
  <c r="F283" i="12" s="1"/>
  <c r="E272" i="12"/>
  <c r="E284" i="12" s="1"/>
  <c r="D272" i="12"/>
  <c r="D284" i="12" s="1"/>
  <c r="E268" i="12"/>
  <c r="F268" i="12"/>
  <c r="G268" i="12"/>
  <c r="E269" i="12"/>
  <c r="F269" i="12"/>
  <c r="G269" i="12"/>
  <c r="E270" i="12"/>
  <c r="F270" i="12"/>
  <c r="G270" i="12"/>
  <c r="D270" i="12"/>
  <c r="G376" i="12" l="1"/>
  <c r="F376" i="12"/>
  <c r="E339" i="12"/>
  <c r="F329" i="12"/>
  <c r="E329" i="12"/>
  <c r="D339" i="12"/>
  <c r="F339" i="12"/>
  <c r="G339" i="12"/>
  <c r="G329" i="12"/>
  <c r="D329" i="12"/>
  <c r="I257" i="12"/>
  <c r="D269" i="12"/>
  <c r="D268" i="12"/>
  <c r="E224" i="12" l="1"/>
  <c r="D224" i="12"/>
  <c r="E220" i="12"/>
  <c r="E221" i="12"/>
  <c r="E219" i="12"/>
  <c r="E222" i="12" s="1"/>
  <c r="D221" i="12"/>
  <c r="D220" i="12"/>
  <c r="D219" i="12"/>
  <c r="E216" i="12"/>
  <c r="E215" i="12" s="1"/>
  <c r="F216" i="12"/>
  <c r="F215" i="12" s="1"/>
  <c r="G216" i="12"/>
  <c r="G215" i="12" s="1"/>
  <c r="D216" i="12"/>
  <c r="D215" i="12" s="1"/>
  <c r="G196" i="12"/>
  <c r="G202" i="12" s="1"/>
  <c r="G201" i="12"/>
  <c r="F196" i="12"/>
  <c r="G200" i="12" l="1"/>
  <c r="I141" i="12"/>
  <c r="I142" i="12"/>
  <c r="I143" i="12"/>
  <c r="E145" i="12"/>
  <c r="F145" i="12"/>
  <c r="F150" i="12" s="1"/>
  <c r="G145" i="12"/>
  <c r="E146" i="12"/>
  <c r="F146" i="12"/>
  <c r="G146" i="12"/>
  <c r="I146" i="12" s="1"/>
  <c r="D146" i="12"/>
  <c r="D145" i="12"/>
  <c r="D150" i="12" s="1"/>
  <c r="E138" i="12"/>
  <c r="E137" i="12" s="1"/>
  <c r="F138" i="12"/>
  <c r="F137" i="12" s="1"/>
  <c r="G138" i="12"/>
  <c r="G137" i="12" s="1"/>
  <c r="D138" i="12"/>
  <c r="D137" i="12" s="1"/>
  <c r="G117" i="12"/>
  <c r="G120" i="12" s="1"/>
  <c r="G119" i="12" s="1"/>
  <c r="F117" i="12"/>
  <c r="F120" i="12" s="1"/>
  <c r="F119" i="12" s="1"/>
  <c r="E119" i="12"/>
  <c r="D117" i="12"/>
  <c r="D120" i="12" s="1"/>
  <c r="D119" i="12" s="1"/>
  <c r="I112" i="12"/>
  <c r="E114" i="12"/>
  <c r="F114" i="12"/>
  <c r="G114" i="12"/>
  <c r="E115" i="12"/>
  <c r="F115" i="12"/>
  <c r="G115" i="12"/>
  <c r="D114" i="12"/>
  <c r="E80" i="12"/>
  <c r="F80" i="12"/>
  <c r="G80" i="12"/>
  <c r="E81" i="12"/>
  <c r="F81" i="12"/>
  <c r="G81" i="12"/>
  <c r="D80" i="12"/>
  <c r="D81" i="12"/>
  <c r="E144" i="12" l="1"/>
  <c r="D144" i="12"/>
  <c r="E150" i="12"/>
  <c r="G144" i="12"/>
  <c r="G150" i="12"/>
  <c r="I150" i="12" s="1"/>
  <c r="F144" i="12"/>
  <c r="E68" i="12"/>
  <c r="F68" i="12"/>
  <c r="G68" i="12"/>
  <c r="E69" i="12"/>
  <c r="F69" i="12"/>
  <c r="G69" i="12"/>
  <c r="E70" i="12"/>
  <c r="F70" i="12"/>
  <c r="G70" i="12"/>
  <c r="D69" i="12"/>
  <c r="I66" i="12"/>
  <c r="D70" i="12"/>
  <c r="D68" i="12"/>
  <c r="I56" i="12"/>
  <c r="I54" i="12"/>
  <c r="I61" i="12"/>
  <c r="E42" i="12" l="1"/>
  <c r="F42" i="12"/>
  <c r="G42" i="12"/>
  <c r="D42" i="12"/>
  <c r="E24" i="12"/>
  <c r="F24" i="12"/>
  <c r="G24" i="12"/>
  <c r="E25" i="12"/>
  <c r="F25" i="12"/>
  <c r="G25" i="12"/>
  <c r="E26" i="12"/>
  <c r="F26" i="12"/>
  <c r="G26" i="12"/>
  <c r="D24" i="12"/>
  <c r="D25" i="12"/>
  <c r="D26" i="12"/>
  <c r="D23" i="12" l="1"/>
  <c r="G23" i="12"/>
  <c r="F23" i="12"/>
  <c r="E23" i="12"/>
  <c r="E100" i="12"/>
  <c r="F100" i="12"/>
  <c r="G100" i="12"/>
  <c r="E101" i="12"/>
  <c r="F101" i="12"/>
  <c r="G101" i="12"/>
  <c r="E99" i="12"/>
  <c r="F99" i="12"/>
  <c r="G99" i="12"/>
  <c r="D99" i="12"/>
  <c r="D101" i="12"/>
  <c r="I21" i="12"/>
  <c r="I19" i="12"/>
  <c r="G98" i="12" l="1"/>
  <c r="I227" i="12"/>
  <c r="F228" i="12"/>
  <c r="G228" i="12"/>
  <c r="I214" i="12"/>
  <c r="I212" i="12"/>
  <c r="E168" i="12" l="1"/>
  <c r="F168" i="12"/>
  <c r="G168" i="12"/>
  <c r="D168" i="12"/>
  <c r="E167" i="12"/>
  <c r="F167" i="12"/>
  <c r="G167" i="12"/>
  <c r="D167" i="12"/>
  <c r="C145" i="12"/>
  <c r="E358" i="12"/>
  <c r="E357" i="12" s="1"/>
  <c r="F358" i="12"/>
  <c r="F357" i="12" s="1"/>
  <c r="G358" i="12"/>
  <c r="G357" i="12" s="1"/>
  <c r="I321" i="12"/>
  <c r="I322" i="12"/>
  <c r="E308" i="12"/>
  <c r="F308" i="12"/>
  <c r="G308" i="12"/>
  <c r="D308" i="12"/>
  <c r="I305" i="12"/>
  <c r="D297" i="12"/>
  <c r="I362" i="12"/>
  <c r="I361" i="12"/>
  <c r="I360" i="12"/>
  <c r="I352" i="12"/>
  <c r="I343" i="12"/>
  <c r="I344" i="12"/>
  <c r="I336" i="12"/>
  <c r="I337" i="12"/>
  <c r="I338" i="12"/>
  <c r="I334" i="12"/>
  <c r="I312" i="12"/>
  <c r="I313" i="12"/>
  <c r="I314" i="12"/>
  <c r="I315" i="12"/>
  <c r="I316" i="12"/>
  <c r="I317" i="12"/>
  <c r="I318" i="12"/>
  <c r="I319" i="12"/>
  <c r="I320" i="12"/>
  <c r="I323" i="12"/>
  <c r="I324" i="12"/>
  <c r="I325" i="12"/>
  <c r="I311" i="12"/>
  <c r="I213" i="12"/>
  <c r="I231" i="12"/>
  <c r="I230" i="12"/>
  <c r="I386" i="12"/>
  <c r="I384" i="12"/>
  <c r="I133" i="12"/>
  <c r="E128" i="12"/>
  <c r="E148" i="12" s="1"/>
  <c r="F128" i="12"/>
  <c r="F148" i="12" s="1"/>
  <c r="G128" i="12"/>
  <c r="G148" i="12" s="1"/>
  <c r="D128" i="12"/>
  <c r="D148" i="12" s="1"/>
  <c r="I96" i="12"/>
  <c r="I97" i="12"/>
  <c r="I94" i="12"/>
  <c r="I93" i="12"/>
  <c r="I95" i="12"/>
  <c r="I92" i="12"/>
  <c r="G86" i="12"/>
  <c r="E32" i="12"/>
  <c r="E33" i="12"/>
  <c r="E43" i="12"/>
  <c r="E86" i="12"/>
  <c r="E85" i="12" s="1"/>
  <c r="F86" i="12"/>
  <c r="I148" i="12" l="1"/>
  <c r="E307" i="12"/>
  <c r="D307" i="12"/>
  <c r="F307" i="12"/>
  <c r="G307" i="12"/>
  <c r="I99" i="12"/>
  <c r="E90" i="12"/>
  <c r="E389" i="12" s="1"/>
  <c r="E67" i="12"/>
  <c r="E31" i="12"/>
  <c r="E89" i="12"/>
  <c r="E41" i="12"/>
  <c r="E88" i="12"/>
  <c r="E79" i="12"/>
  <c r="E87" i="12" l="1"/>
  <c r="D182" i="12" l="1"/>
  <c r="I208" i="12" l="1"/>
  <c r="I207" i="12"/>
  <c r="E210" i="12"/>
  <c r="F210" i="12"/>
  <c r="G210" i="12"/>
  <c r="D210" i="12"/>
  <c r="D209" i="12" s="1"/>
  <c r="I210" i="12" l="1"/>
  <c r="I197" i="12" l="1"/>
  <c r="I198" i="12"/>
  <c r="I199" i="12"/>
  <c r="I196" i="12"/>
  <c r="E201" i="12"/>
  <c r="F201" i="12"/>
  <c r="E202" i="12"/>
  <c r="E205" i="12" s="1"/>
  <c r="F202" i="12"/>
  <c r="F205" i="12" s="1"/>
  <c r="D202" i="12"/>
  <c r="D205" i="12" s="1"/>
  <c r="D201" i="12"/>
  <c r="I192" i="12"/>
  <c r="I185" i="12"/>
  <c r="I161" i="12"/>
  <c r="I162" i="12"/>
  <c r="I163" i="12"/>
  <c r="I164" i="12"/>
  <c r="I165" i="12"/>
  <c r="I160" i="12"/>
  <c r="I157" i="12"/>
  <c r="I140" i="12"/>
  <c r="I134" i="12"/>
  <c r="I136" i="12"/>
  <c r="I124" i="12"/>
  <c r="I125" i="12"/>
  <c r="I126" i="12"/>
  <c r="I123" i="12"/>
  <c r="I118" i="12"/>
  <c r="I201" i="12" l="1"/>
  <c r="I202" i="12"/>
  <c r="G205" i="12"/>
  <c r="E194" i="12" l="1"/>
  <c r="F194" i="12"/>
  <c r="G194" i="12"/>
  <c r="D194" i="12"/>
  <c r="D204" i="12" s="1"/>
  <c r="I194" i="12" l="1"/>
  <c r="I104" i="12" l="1"/>
  <c r="I105" i="12"/>
  <c r="I106" i="12"/>
  <c r="I107" i="12"/>
  <c r="I108" i="12"/>
  <c r="I109" i="12"/>
  <c r="I110" i="12"/>
  <c r="I111" i="12"/>
  <c r="I103" i="12"/>
  <c r="I300" i="12"/>
  <c r="I301" i="12"/>
  <c r="I302" i="12"/>
  <c r="I303" i="12"/>
  <c r="I304" i="12"/>
  <c r="I288" i="12"/>
  <c r="D285" i="12"/>
  <c r="I38" i="12"/>
  <c r="I39" i="12"/>
  <c r="I11" i="12"/>
  <c r="I12" i="12"/>
  <c r="I13" i="12"/>
  <c r="I14" i="12"/>
  <c r="I15" i="12"/>
  <c r="I16" i="12"/>
  <c r="I17" i="12"/>
  <c r="I18" i="12"/>
  <c r="I20" i="12"/>
  <c r="I22" i="12"/>
  <c r="I84" i="12"/>
  <c r="I83" i="12"/>
  <c r="D283" i="12" l="1"/>
  <c r="I73" i="12"/>
  <c r="I74" i="12"/>
  <c r="I75" i="12"/>
  <c r="I76" i="12"/>
  <c r="I77" i="12"/>
  <c r="I78" i="12"/>
  <c r="I53" i="12"/>
  <c r="I46" i="12"/>
  <c r="I47" i="12"/>
  <c r="I48" i="12"/>
  <c r="I49" i="12"/>
  <c r="I50" i="12"/>
  <c r="I51" i="12"/>
  <c r="I52" i="12"/>
  <c r="I57" i="12"/>
  <c r="I58" i="12"/>
  <c r="I59" i="12"/>
  <c r="I60" i="12"/>
  <c r="I63" i="12"/>
  <c r="I64" i="12"/>
  <c r="I65" i="12"/>
  <c r="F43" i="12"/>
  <c r="G43" i="12"/>
  <c r="D43" i="12"/>
  <c r="I40" i="12"/>
  <c r="D32" i="12"/>
  <c r="G79" i="12" l="1"/>
  <c r="D79" i="12"/>
  <c r="G67" i="12"/>
  <c r="I42" i="12"/>
  <c r="I55" i="12"/>
  <c r="I43" i="12"/>
  <c r="G41" i="12"/>
  <c r="D67" i="12"/>
  <c r="F67" i="12"/>
  <c r="F41" i="12"/>
  <c r="D41" i="12"/>
  <c r="I41" i="12" l="1"/>
  <c r="I282" i="12" l="1"/>
  <c r="I281" i="12"/>
  <c r="I280" i="12"/>
  <c r="I279" i="12"/>
  <c r="I278" i="12"/>
  <c r="I277" i="12"/>
  <c r="I276" i="12"/>
  <c r="I275" i="12"/>
  <c r="I274" i="12"/>
  <c r="E293" i="12"/>
  <c r="F293" i="12"/>
  <c r="G293" i="12"/>
  <c r="I253" i="12"/>
  <c r="I266" i="12"/>
  <c r="I264" i="12"/>
  <c r="I263" i="12"/>
  <c r="I262" i="12"/>
  <c r="I261" i="12"/>
  <c r="I258" i="12"/>
  <c r="I259" i="12"/>
  <c r="I260" i="12"/>
  <c r="I255" i="12"/>
  <c r="I254" i="12"/>
  <c r="I252" i="12"/>
  <c r="I249" i="12"/>
  <c r="I248" i="12"/>
  <c r="I247" i="12"/>
  <c r="I246" i="12"/>
  <c r="I240" i="12"/>
  <c r="I237" i="12"/>
  <c r="I10" i="12"/>
  <c r="I28" i="12"/>
  <c r="I29" i="12"/>
  <c r="I30" i="12"/>
  <c r="I35" i="12"/>
  <c r="I36" i="12"/>
  <c r="I37" i="12"/>
  <c r="I45" i="12"/>
  <c r="I72" i="12"/>
  <c r="I236" i="12"/>
  <c r="I238" i="12"/>
  <c r="I239" i="12"/>
  <c r="I251" i="12"/>
  <c r="I243" i="12"/>
  <c r="I244" i="12"/>
  <c r="I241" i="12"/>
  <c r="I245" i="12"/>
  <c r="I242" i="12"/>
  <c r="I265" i="12"/>
  <c r="I250" i="12"/>
  <c r="I378" i="12"/>
  <c r="I379" i="12"/>
  <c r="F294" i="12" l="1"/>
  <c r="F391" i="12" s="1"/>
  <c r="E294" i="12"/>
  <c r="E391" i="12" s="1"/>
  <c r="G294" i="12"/>
  <c r="G391" i="12" s="1"/>
  <c r="D267" i="12"/>
  <c r="I293" i="12"/>
  <c r="F267" i="12"/>
  <c r="I294" i="12" l="1"/>
  <c r="D358" i="12"/>
  <c r="D357" i="12" s="1"/>
  <c r="I331" i="12"/>
  <c r="I340" i="12" l="1"/>
  <c r="I364" i="12"/>
  <c r="I330" i="12"/>
  <c r="I332" i="12"/>
  <c r="I341" i="12"/>
  <c r="I100" i="12"/>
  <c r="I101" i="12"/>
  <c r="F90" i="12"/>
  <c r="F389" i="12" s="1"/>
  <c r="I25" i="12"/>
  <c r="I26" i="12"/>
  <c r="I24" i="12"/>
  <c r="I81" i="12"/>
  <c r="I80" i="12"/>
  <c r="I69" i="12"/>
  <c r="I70" i="12"/>
  <c r="I68" i="12"/>
  <c r="F79" i="12"/>
  <c r="G90" i="12"/>
  <c r="G389" i="12" s="1"/>
  <c r="E98" i="12"/>
  <c r="I376" i="12"/>
  <c r="F98" i="12"/>
  <c r="I363" i="12" l="1"/>
  <c r="I374" i="12"/>
  <c r="I329" i="12"/>
  <c r="I339" i="12"/>
  <c r="I98" i="12"/>
  <c r="I90" i="12"/>
  <c r="I23" i="12"/>
  <c r="I79" i="12"/>
  <c r="I67" i="12"/>
  <c r="D306" i="12"/>
  <c r="I296" i="12"/>
  <c r="I216" i="12" l="1"/>
  <c r="I219" i="12"/>
  <c r="I224" i="12"/>
  <c r="I298" i="12"/>
  <c r="I346" i="12"/>
  <c r="I299" i="12"/>
  <c r="I297" i="12"/>
  <c r="I268" i="12"/>
  <c r="I215" i="12" l="1"/>
  <c r="I345" i="12"/>
  <c r="I307" i="12"/>
  <c r="I131" i="12" l="1"/>
  <c r="I135" i="12"/>
  <c r="I132" i="12"/>
  <c r="I117" i="12"/>
  <c r="G85" i="12"/>
  <c r="D225" i="12" l="1"/>
  <c r="E226" i="12"/>
  <c r="I226" i="12" s="1"/>
  <c r="D226" i="12"/>
  <c r="I221" i="12"/>
  <c r="I220" i="12"/>
  <c r="I225" i="12" l="1"/>
  <c r="E228" i="12"/>
  <c r="D228" i="12"/>
  <c r="I168" i="12"/>
  <c r="I167" i="12"/>
  <c r="I269" i="12"/>
  <c r="I205" i="12"/>
  <c r="I382" i="12"/>
  <c r="I381" i="12"/>
  <c r="E166" i="12"/>
  <c r="G166" i="12"/>
  <c r="F200" i="12"/>
  <c r="F166" i="12"/>
  <c r="E200" i="12"/>
  <c r="I200" i="12" l="1"/>
  <c r="I166" i="12"/>
  <c r="I380" i="12"/>
  <c r="E306" i="12"/>
  <c r="F306" i="12"/>
  <c r="G306" i="12"/>
  <c r="I306" i="12" l="1"/>
  <c r="I308" i="12"/>
  <c r="E267" i="12"/>
  <c r="I256" i="12"/>
  <c r="G267" i="12"/>
  <c r="E187" i="12"/>
  <c r="F187" i="12"/>
  <c r="G187" i="12"/>
  <c r="D187" i="12"/>
  <c r="I187" i="12" l="1"/>
  <c r="I270" i="12"/>
  <c r="I267" i="12"/>
  <c r="I138" i="12" l="1"/>
  <c r="I145" i="12" l="1"/>
  <c r="I144" i="12"/>
  <c r="I128" i="12"/>
  <c r="E129" i="12"/>
  <c r="E149" i="12" s="1"/>
  <c r="E147" i="12" s="1"/>
  <c r="F129" i="12"/>
  <c r="F149" i="12" s="1"/>
  <c r="F147" i="12" s="1"/>
  <c r="G129" i="12"/>
  <c r="G149" i="12" s="1"/>
  <c r="E182" i="12"/>
  <c r="E181" i="12" s="1"/>
  <c r="F182" i="12"/>
  <c r="F181" i="12" s="1"/>
  <c r="G182" i="12"/>
  <c r="E176" i="12"/>
  <c r="E175" i="12" s="1"/>
  <c r="F176" i="12"/>
  <c r="F175" i="12" s="1"/>
  <c r="G176" i="12"/>
  <c r="D176" i="12"/>
  <c r="D189" i="12" s="1"/>
  <c r="D188" i="12" s="1"/>
  <c r="E204" i="12"/>
  <c r="D293" i="12"/>
  <c r="I284" i="12"/>
  <c r="E354" i="12"/>
  <c r="E353" i="12" s="1"/>
  <c r="F354" i="12"/>
  <c r="F353" i="12" s="1"/>
  <c r="G354" i="12"/>
  <c r="D353" i="12"/>
  <c r="I149" i="12" l="1"/>
  <c r="G147" i="12"/>
  <c r="I228" i="12"/>
  <c r="I354" i="12"/>
  <c r="D175" i="12"/>
  <c r="I129" i="12"/>
  <c r="I137" i="12"/>
  <c r="I286" i="12"/>
  <c r="G204" i="12"/>
  <c r="G353" i="12"/>
  <c r="I353" i="12" s="1"/>
  <c r="F204" i="12"/>
  <c r="F203" i="12" s="1"/>
  <c r="G175" i="12"/>
  <c r="G181" i="12"/>
  <c r="I389" i="12"/>
  <c r="E203" i="12"/>
  <c r="G193" i="12"/>
  <c r="E189" i="12"/>
  <c r="E188" i="12" s="1"/>
  <c r="G189" i="12"/>
  <c r="F189" i="12"/>
  <c r="F188" i="12" s="1"/>
  <c r="E193" i="12"/>
  <c r="F193" i="12"/>
  <c r="I204" i="12" l="1"/>
  <c r="G203" i="12"/>
  <c r="I203" i="12" s="1"/>
  <c r="I189" i="12"/>
  <c r="I193" i="12"/>
  <c r="G188" i="12"/>
  <c r="I188" i="12" s="1"/>
  <c r="G209" i="12"/>
  <c r="F209" i="12"/>
  <c r="E186" i="12"/>
  <c r="F186" i="12"/>
  <c r="G186" i="12"/>
  <c r="D186" i="12"/>
  <c r="D115" i="12"/>
  <c r="F32" i="12"/>
  <c r="F88" i="12" s="1"/>
  <c r="I147" i="12" l="1"/>
  <c r="I186" i="12"/>
  <c r="I285" i="12"/>
  <c r="E209" i="12"/>
  <c r="I209" i="12" s="1"/>
  <c r="E283" i="12"/>
  <c r="G283" i="12"/>
  <c r="I283" i="12" l="1"/>
  <c r="I391" i="12"/>
  <c r="E387" i="12" l="1"/>
  <c r="F387" i="12"/>
  <c r="G387" i="12"/>
  <c r="I387" i="12" l="1"/>
  <c r="F350" i="12" l="1"/>
  <c r="F375" i="12" s="1"/>
  <c r="F373" i="12" s="1"/>
  <c r="G350" i="12"/>
  <c r="G375" i="12" s="1"/>
  <c r="G373" i="12" s="1"/>
  <c r="E350" i="12"/>
  <c r="E375" i="12" s="1"/>
  <c r="E373" i="12" s="1"/>
  <c r="D375" i="12"/>
  <c r="D373" i="12" s="1"/>
  <c r="D181" i="12"/>
  <c r="I120" i="12" l="1"/>
  <c r="I375" i="12" l="1"/>
  <c r="I373" i="12"/>
  <c r="I119" i="12" l="1"/>
  <c r="G171" i="12" l="1"/>
  <c r="D193" i="12" l="1"/>
  <c r="D294" i="12" l="1"/>
  <c r="D391" i="12" s="1"/>
  <c r="D129" i="12"/>
  <c r="D149" i="12" s="1"/>
  <c r="D147" i="12" s="1"/>
  <c r="D127" i="12" l="1"/>
  <c r="I114" i="12" l="1"/>
  <c r="I115" i="12"/>
  <c r="F113" i="12"/>
  <c r="G113" i="12"/>
  <c r="E113" i="12"/>
  <c r="I113" i="12" l="1"/>
  <c r="D90" i="12"/>
  <c r="D389" i="12" s="1"/>
  <c r="F222" i="12" l="1"/>
  <c r="G222" i="12" l="1"/>
  <c r="G127" i="12" l="1"/>
  <c r="E127" i="12"/>
  <c r="F127" i="12"/>
  <c r="I127" i="12" l="1"/>
  <c r="I152" i="12"/>
  <c r="E232" i="12" l="1"/>
  <c r="F232" i="12"/>
  <c r="F233" i="12" s="1"/>
  <c r="G232" i="12"/>
  <c r="G233" i="12" s="1"/>
  <c r="D232" i="12"/>
  <c r="I232" i="12" l="1"/>
  <c r="I86" i="12"/>
  <c r="D86" i="12"/>
  <c r="D88" i="12" l="1"/>
  <c r="D222" i="12" l="1"/>
  <c r="I222" i="12" l="1"/>
  <c r="G154" i="12" l="1"/>
  <c r="F154" i="12"/>
  <c r="G153" i="12" l="1"/>
  <c r="F153" i="12"/>
  <c r="E171" i="12" l="1"/>
  <c r="E392" i="12" s="1"/>
  <c r="F171" i="12"/>
  <c r="D171" i="12"/>
  <c r="I171" i="12" l="1"/>
  <c r="G349" i="12"/>
  <c r="E349" i="12"/>
  <c r="D349" i="12"/>
  <c r="F349" i="12"/>
  <c r="G32" i="12"/>
  <c r="I32" i="12" l="1"/>
  <c r="G88" i="12"/>
  <c r="D33" i="12"/>
  <c r="F33" i="12"/>
  <c r="F89" i="12" s="1"/>
  <c r="F392" i="12" s="1"/>
  <c r="G33" i="12"/>
  <c r="I88" i="12" l="1"/>
  <c r="I33" i="12"/>
  <c r="G89" i="12"/>
  <c r="G392" i="12" s="1"/>
  <c r="F87" i="12"/>
  <c r="G290" i="12"/>
  <c r="F290" i="12"/>
  <c r="F292" i="12" s="1"/>
  <c r="F291" i="12" l="1"/>
  <c r="G292" i="12"/>
  <c r="G87" i="12"/>
  <c r="I87" i="12" s="1"/>
  <c r="I89" i="12"/>
  <c r="I392" i="12"/>
  <c r="G291" i="12" l="1"/>
  <c r="D166" i="12"/>
  <c r="D89" i="12" l="1"/>
  <c r="D392" i="12" s="1"/>
  <c r="D87" i="12" l="1"/>
  <c r="D289" i="12" l="1"/>
  <c r="E290" i="12" l="1"/>
  <c r="D290" i="12"/>
  <c r="D292" i="12" s="1"/>
  <c r="E292" i="12" l="1"/>
  <c r="I292" i="12" s="1"/>
  <c r="I290" i="12"/>
  <c r="D291" i="12"/>
  <c r="F289" i="12"/>
  <c r="G289" i="12"/>
  <c r="E289" i="12"/>
  <c r="D85" i="12"/>
  <c r="G31" i="12"/>
  <c r="D31" i="12"/>
  <c r="D100" i="12"/>
  <c r="D98" i="12" l="1"/>
  <c r="I289" i="12"/>
  <c r="E291" i="12"/>
  <c r="I291" i="12" s="1"/>
  <c r="F31" i="12"/>
  <c r="I31" i="12"/>
  <c r="D113" i="12"/>
  <c r="I85" i="12"/>
  <c r="F85" i="12"/>
  <c r="E233" i="12"/>
  <c r="I233" i="12" s="1"/>
  <c r="D233" i="12"/>
  <c r="E154" i="12"/>
  <c r="D154" i="12"/>
  <c r="I154" i="12" l="1"/>
  <c r="D153" i="12"/>
  <c r="E153" i="12"/>
  <c r="I153" i="12" s="1"/>
  <c r="E158" i="12"/>
  <c r="E170" i="12" s="1"/>
  <c r="F158" i="12"/>
  <c r="F170" i="12" s="1"/>
  <c r="F390" i="12" s="1"/>
  <c r="G158" i="12"/>
  <c r="D158" i="12"/>
  <c r="D170" i="12" s="1"/>
  <c r="D390" i="12" s="1"/>
  <c r="E390" i="12" l="1"/>
  <c r="E388" i="12" s="1"/>
  <c r="F388" i="12"/>
  <c r="D388" i="12"/>
  <c r="I158" i="12"/>
  <c r="G170" i="12"/>
  <c r="G390" i="12" s="1"/>
  <c r="F169" i="12"/>
  <c r="E169" i="12"/>
  <c r="D169" i="12"/>
  <c r="G388" i="12" l="1"/>
  <c r="G169" i="12"/>
  <c r="I169" i="12" s="1"/>
  <c r="I170" i="12"/>
  <c r="I390" i="12" l="1"/>
  <c r="I388" i="12"/>
  <c r="D203" i="12"/>
  <c r="D200" i="12"/>
</calcChain>
</file>

<file path=xl/sharedStrings.xml><?xml version="1.0" encoding="utf-8"?>
<sst xmlns="http://schemas.openxmlformats.org/spreadsheetml/2006/main" count="986" uniqueCount="258">
  <si>
    <t xml:space="preserve">действующих в муниципальном образовании Кольский район </t>
  </si>
  <si>
    <t>Источник финансирования</t>
  </si>
  <si>
    <t>№ п/п</t>
  </si>
  <si>
    <t>Всего, в том числе: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</si>
  <si>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</si>
  <si>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</si>
  <si>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</si>
  <si>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</si>
  <si>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</si>
  <si>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</si>
  <si>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</si>
  <si>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</si>
  <si>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Подпрограмма 2 "Создание условий для сбалансированного и устойчивого исполнения местных бюджетов, содействие повышению качества управления муниципальными финансами"</t>
  </si>
  <si>
    <t>бюджет Кольского района</t>
  </si>
  <si>
    <t>Всего по программе</t>
  </si>
  <si>
    <t>бюджет Мурманской области</t>
  </si>
  <si>
    <t>Всего, в т.ч.</t>
  </si>
  <si>
    <t>Всего по подпрограмме</t>
  </si>
  <si>
    <t>Подпрограмма 2 "Повышение безопасности дорожного движения и снижение дорожно-транспортного травматизма"</t>
  </si>
  <si>
    <t>Распоряжение, формирование, управление муниципальным имуществом, (кроме земельных участков), их учёт и содержание</t>
  </si>
  <si>
    <t>Организация и проведение мероприятий, направленных на поддержку и продвижение талантливых детей и молодёжи Кольского района</t>
  </si>
  <si>
    <t>Комплекс мер, направленный на реализацию мероприятий государственной молодёжной политики</t>
  </si>
  <si>
    <t>Комплекс мер по обеспечению поддержки и сопровождения антинаркотической и антиалкогольной деятельности в Кольском районе</t>
  </si>
  <si>
    <t>Реализация комплекса мер, направленного на профилактику негативных явлений в обществе, формирование здорового образа жизни у населения Кольского района, в том числе детской и молодёжной среде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</si>
  <si>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</si>
  <si>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</si>
  <si>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</si>
  <si>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Выплата пенсии за выслугу лет муниципальным служащим, замещавшим муниципальные должности муниципальной службы в муниципальном образовании Кольский район</t>
  </si>
  <si>
    <t>Подпрограмма 1 "Развитие образования в Кольском районе Мурманской области"</t>
  </si>
  <si>
    <t>Мероприятия по капитальному и текущему ремонту объектов образования</t>
  </si>
  <si>
    <t>Модернизация образовательной среды, направленная на достижение современного качества учебных результатов</t>
  </si>
  <si>
    <t>Проведение мероприятий, направленных на формирование здорового образа жизни</t>
  </si>
  <si>
    <t>Формирование условий, обеспечивающих соответствие образовательных организаций современным требованиям</t>
  </si>
  <si>
    <t>Школьное здоровое питание</t>
  </si>
  <si>
    <t>Организация оздоровительных лагерей дневного пребывания на базе образовательных учреждений и выездного оздоровительного лагеря для воспитанников МОУ ДОД ДЮСШ от 7 до 18 лет</t>
  </si>
  <si>
    <t>Расходы на обеспечение деятельности (оказание услуг)  подведомственных учреждений, в том числе на предоставление муниципальным бюджетным и автономным учреждениям субсидий</t>
  </si>
  <si>
    <t>13.</t>
  </si>
  <si>
    <t xml:space="preserve">Подпрограмма 1 "Обеспечение деятельности и функций администрации Кольского района и государственных полномочий" </t>
  </si>
  <si>
    <t>Расходы на выплаты по оплате труда главы местной администрации</t>
  </si>
  <si>
    <t>Расходы на выплаты по оплате труда работников органов местного самоуправления</t>
  </si>
  <si>
    <t>Заключение соглашений на поставку материальных ресурсов на ликвидацию последствий чрезвычайных ситуаций природного и техногенного характера</t>
  </si>
  <si>
    <t>Субвенция на осуществление органами местного самоуправления муниципальных образований Мурманской области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</si>
  <si>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Подпрограмма 2 "Обеспечение деятельности муниципальных учреждений, подведомственных администрации Кольского района по выполнению муниципальных функций" </t>
  </si>
  <si>
    <t>Расходы на содержание МКУ "Кольский архив"</t>
  </si>
  <si>
    <t>Расходы на содержание МБУ "Централизованная бухгалтерия по обслуживанию муниципальных учреждений Кольского района"</t>
  </si>
  <si>
    <t>Всего по муниципальным программам</t>
  </si>
  <si>
    <t xml:space="preserve">   </t>
  </si>
  <si>
    <t>бюджет поселений Кольского района</t>
  </si>
  <si>
    <t xml:space="preserve">Мероприятия, связанные с повышением безопасности дорожного движения и снижение дорожно-транспортного травматизма в Кольском районе </t>
  </si>
  <si>
    <t>Подпрограмма 1 "Управление муниципальными финансами"</t>
  </si>
  <si>
    <t>Проведение мероприятий для детей и молодёжи</t>
  </si>
  <si>
    <t>Подпрограмма 1 "Содействие развитию субъектов малого  предпринимательства"</t>
  </si>
  <si>
    <t>Оказание методической помощи организаторам и участникам профилактической антинаркотической и антиалкогольной деятельности</t>
  </si>
  <si>
    <t>Расходы на реализацию мероприятий государственной программы Российской Федерации "Доступная среда"</t>
  </si>
  <si>
    <t>Расходы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</si>
  <si>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Проведение торжественных мероприятий в рамках празднования Дня матери</t>
  </si>
  <si>
    <t>Расходы на выплаты спортсменам, судьям, привлекаемым для участия в физкультурно-спортивных мероприятиях</t>
  </si>
  <si>
    <t>Выплата денежной премии участникам акции "Правовой район"</t>
  </si>
  <si>
    <t>Прочие направления расходов муниципальной программы</t>
  </si>
  <si>
    <t>Мероприятия по созданию и обеспечению функционирования системы технической защиты информации</t>
  </si>
  <si>
    <t>Членские взносы в Совет муниципальных образований Мурманской области</t>
  </si>
  <si>
    <t>Субсидия на организацию отдыха детей Мурманской области в муниципальных образовательных организациях</t>
  </si>
  <si>
    <t>Расходы бюджета Кольского района на организацию отдыха детей Мурманской области в муниципальных образовательных организациях</t>
  </si>
  <si>
    <t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</si>
  <si>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>Расходы бюджета Кольского района на софинансирование расходов, направляемых на оплату  труда и начисления на выплаты по оплате труда работникам муниципальных учреждений</t>
  </si>
  <si>
    <t xml:space="preserve">Субвенция на содержание ребёнка в семье опекуна (попечителя) и приёмной семье, а также вознаграждение, причитающееся приёмному родителю </t>
  </si>
  <si>
    <t>Расходы бюджета Кольского района на софинансирование расходов, направленных на оплату труда и начисления на выплаты по оплате труда, работникам муниципальных учреждений</t>
  </si>
  <si>
    <t>Подпрограмма 3 "Развитие дорожного хозяйства сельских поселений"</t>
  </si>
  <si>
    <t>Обслуживание и содержание дорог местного значения в границах сельских поселений</t>
  </si>
  <si>
    <t>Предоставление финансовой поддержки субъектам малого предпринимательства, в том числе крестьянско-фермерским хозяйствам</t>
  </si>
  <si>
    <t xml:space="preserve">Подпрограмма 1 "Комплексные меры по ограничению темпов роста наркомании, алкоголизма и сопутствующих им заболеваний в Кольском районе </t>
  </si>
  <si>
    <t xml:space="preserve">Подпрограмма 2 "Профилактика правонарушений в Кольском районе" </t>
  </si>
  <si>
    <t>Субсидия 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</si>
  <si>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Подпрограмма 3 "Развитие кадрового потенциала администрации Кольского района" </t>
  </si>
  <si>
    <t>Реализация комплекса мер, направленного на воспитание у детей и молодёжи патриотизма и чувства долга перед Отечеством</t>
  </si>
  <si>
    <t>Организация и проведение мероприятий, направленных на формирование у молодёжи российской идентичности и профилактику этнического и религиозно-политического экстремизма в молодёжной среде</t>
  </si>
  <si>
    <t>Подпрограмма 1 "Содержание и ремонт муниципального жилищного фонда Кольского района"</t>
  </si>
  <si>
    <t>Расходы по внесению платы за содержание и ремонт пустующего жилого помещения, относящегося к муниципальному жилищному фонду</t>
  </si>
  <si>
    <t>Расходы по внесению платы за коммунальные услуги по пустующим жилым помещениям, относящимся к муниципальному жилищному фонду</t>
  </si>
  <si>
    <t>Субвенция на выплату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</t>
  </si>
  <si>
    <t>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</si>
  <si>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Проведение экспертизы и технического обследования муниципального жилищного фонда в сельских поселениях Кольского района</t>
  </si>
  <si>
    <t>Расходы бюджета Кольского района на оплату взносов на капитальный ремонт за муниципальный нежилой фонд в составе МКД</t>
  </si>
  <si>
    <t>Комплекс мер, направленных на обеспечение общественной безопасности и профилактику правонарушений на территории Кольского района, в том числе в детской и молодёжной среде</t>
  </si>
  <si>
    <t>Всего:</t>
  </si>
  <si>
    <t xml:space="preserve">Подпрограмма 2 "Сохранение и развитие библиотечной и культурно-досуговой деятельности" </t>
  </si>
  <si>
    <t xml:space="preserve">Подпрограмма 3 "Модернизация учреждений культуры, искусства, образования в сфере культуры и искусства" 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</si>
  <si>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выполняющих переданные полномочия поселений</t>
  </si>
  <si>
    <t>Расходы бюджета Кольского района на оплату взносов на капитальный ремонт жилого фонда, отнесённого к специализированному жилищному фонду</t>
  </si>
  <si>
    <t>Расходы по внесению платы за содержание и ремонт пустующих муниципальных нежилых помещений, в составе МКД</t>
  </si>
  <si>
    <t>Расходы по внесению платы за коммунальные услуги по пустующим муниципальным нежилым помещениям, в составе МКД</t>
  </si>
  <si>
    <t>Субсидии муниципальным унитарным предприятиям, осуществляющим отдельные виды деятельности на территории сельских поселений Кольского района на частичное возмещение затрат, связанных с производством и реализацией тепловой энергии, в рамках мер по предупреждению банкротства</t>
  </si>
  <si>
    <t>Ежемесячная доплата к страховой пенсии лицам, замещавшим муниципальные должности в муниципальном образовании Кольский район</t>
  </si>
  <si>
    <t>Субвенция на организацию предоставления мер социальной поддержки по оплате жилого помещения и коммунальных усуг детям-сиротам и детям, оставшимся без попечения родителей, лцам из числа детей-сирот и детей, оставшихся без попечения родителей</t>
  </si>
  <si>
    <t>Предоставление и выплата ежемесячной доплаты к государственной трудовой пенсии  лицам, удостоенным звания "Почётный гражданин Кольского района"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</si>
  <si>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</si>
  <si>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Предоставление субсидий общественным организациям инвалидов</t>
  </si>
  <si>
    <t>Изготовление и размещение на рекламных щитах и информационных стендах на территории сельских поселений Кольского района плакатов на антетеррористическую тематику</t>
  </si>
  <si>
    <t>Организация и проведение мероприятий в сфере противодействия терроризму и экстремизму среди детей и молодёжи по предупреждению межнациональных конфликтов</t>
  </si>
  <si>
    <t>Иные межбюджетные трансферты бюджетам сельских поселений Кольского района на осуществление части функций, связанных с исполнением полномочий по дорожной деятельности в отношении автомобильных дорог местного значения в границах населённых пунктов поселения и обеспечению безопасности дорожного движения на них</t>
  </si>
  <si>
    <t>Иные межбюджетные трансферты на осуществление части функций, связанных с исполнением полномочий по организации ритуальных услуг и содержанию мест захоронения на территории сельских поселений Кольского района</t>
  </si>
  <si>
    <t>федеральный бюджет</t>
  </si>
  <si>
    <t>Выплата стипендии Главы администрации Кольского района одарённым детям, торжественное вручение первых стипендий</t>
  </si>
  <si>
    <t>Субвенция на возмещение расходов по гарантированному перечню услуг по погребению</t>
  </si>
  <si>
    <t>Подпрограмма 3 "Развитие торговли в Кольском районе"</t>
  </si>
  <si>
    <t>Приобретение оборудования для проведения ярмарок</t>
  </si>
  <si>
    <t>Прибретение сувенирной, печатной продукции</t>
  </si>
  <si>
    <t>Муниципальная программа "Управление муниципальным имуществом Кольского района" на 2020-2025 гг.</t>
  </si>
  <si>
    <t>Муниципальная программа "Управление земельными ресурсами Кольского района" на 2020-2025 гг.</t>
  </si>
  <si>
    <t>Управление земельными участками, формирование, их учёт и сдержание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</si>
  <si>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</si>
  <si>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Расходы по содержанию и обслуживанию ГТС ограждающей дамбы помётохранилища (бывшие птицефабрики)</t>
  </si>
  <si>
    <t>Расходы бюджета Кольского района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</si>
  <si>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</si>
  <si>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Субвенция местным бюджетам на осуществление органами местного самоуправления государственных полномочий по предоставлению и организации выплаты взнаграждения опекунам совершеннолетних недееспособных граждан </t>
  </si>
  <si>
    <t xml:space="preserve">Расходы бюджета Кольского района на оплату взносов на капитальный ремонт за муниципальный жилой фонд </t>
  </si>
  <si>
    <t>Ремонтные работы на объектах тепло-. водо-. Электроснабжения в сельских поселениях Кольского района в рамках подготовки к отопительному периоду</t>
  </si>
  <si>
    <t>Проведение экспертизы и технического обследования на объектах тепло-. водо-. электроснабжения в сельских поселениях Кольского района</t>
  </si>
  <si>
    <t>Расходы на организацию уличного освещения в сельских поселениях Кольского района</t>
  </si>
  <si>
    <t xml:space="preserve">Подпрограмма 7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</si>
  <si>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 xml:space="preserve">Подпрограмма 6 "Обеспечение проведения капитального ремонта общего имущества многоквартирных домов, расположенных на территории сельских поселений Кольского района" </t>
  </si>
  <si>
    <t xml:space="preserve">Расходы бюджета Кольского района на обеспечение мероприятий по сносу аварийных расселённых жилых домов и нежилых построеек </t>
  </si>
  <si>
    <t>Подпрограмма 4 "Обеспечение полномочий учредителя муниципальных унитарных предприятий"</t>
  </si>
  <si>
    <t>Расходы на модернизацию, ремонт и эксплуатацию муниципальных тепло, водо, электрических сетей в сельских поселениях Кольского района</t>
  </si>
  <si>
    <t>Расходы на содержание МКУ "Управление ОБН Кольского района"</t>
  </si>
  <si>
    <t>Компенсация расходов на оплату стоимости проезда и провоза багажа при переезде лиц (работников), а также членов их семей, при заключении (расторжении) трудовых договоров (контрактов) с организациями, финансируемыми из местного бюджета</t>
  </si>
  <si>
    <t>Муниципальная программа "Развитие образования в Кольском районе Мурманской области" на 2021-2025 годы</t>
  </si>
  <si>
    <t>Муниципальная программа "Развитие семейных форм устройства детей-сирот и детей, оставшихся без попечения родителей" на 2021-2025 годы</t>
  </si>
  <si>
    <t>Муниципальная программа "Социальная поддержка отдельных категорий граждан" на 2021-2025 годы</t>
  </si>
  <si>
    <t>Муниципальная программа "Развитие культуры" на 2021-2025 годы</t>
  </si>
  <si>
    <t>Расходы бюджета Кольского района по обеспечению и реализации социально-значимых мероприятий</t>
  </si>
  <si>
    <t>Муниципальная программа "Развитие транспортной системы" на 2021-2025 годы</t>
  </si>
  <si>
    <t>Муниципальная программа "Развитие экономического потенциала и формирование благоприятного предпринимательского климата в Кольском районе" на 2022-2026 годы</t>
  </si>
  <si>
    <t>Предоставление субсидий социально ориентированным некоммерческим организациям, созданным в форме хуторских казачьих обществ, внесенных в государственный реестр казачьих обществ Российской Федерации, на финансовое обеспечение и возмещение затрат на оплату коммунальных ресурсов, потребленных в текущем периоде и прошлом году на содержание занимаемого нежилого помещения</t>
  </si>
  <si>
    <t>Муниципальная программа "Управление муниципальными финансами" на  2021 -2025 годы</t>
  </si>
  <si>
    <t>Муниципальная программа "Охрана окружающей среды" на 2021-2025 годы</t>
  </si>
  <si>
    <t>Муниципальная программа "Развитие гражданского общества в Кольском районе Мурманской области" на 2021-2025 годы</t>
  </si>
  <si>
    <t xml:space="preserve">Муниципальная программа "Развитие муниципального управления" на 2021-2025 годы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</si>
  <si>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</si>
  <si>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Расходы на содержание МКУ "Управление ОБН Кольского района" за счёт поселений</t>
  </si>
  <si>
    <t>Муниципальная программа "Молодёжь Кольского района" на 2021-2025 годы</t>
  </si>
  <si>
    <t>Субсидия бюджетам муниципальных образований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</si>
  <si>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Расходы бюджета Кольского района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</si>
  <si>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Муниципальная программа "Развитие коммунальной инфраструктуры" на 2021-2024 годы</t>
  </si>
  <si>
    <t xml:space="preserve">Текущий ремонт муниципального жилищного фонда </t>
  </si>
  <si>
    <t>Расходы на содержание "Мемориального комплекса "Долина Славы"</t>
  </si>
  <si>
    <t>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</t>
  </si>
  <si>
    <t>Расходы на содержание МАУ "Редакция газеты" Кольское слово"</t>
  </si>
  <si>
    <t>Муниципальная программа "Обеспечение первичных мер пожарной безопасности в границах Кольского муниципального района за границами городских и сельских населенных пунктов Кольского района" на 2022-2024 годы</t>
  </si>
  <si>
    <t>Изготовление и установка знаков пожарной безопасности в границах Кольского муниципального района за границами населенных пунктов поселений Кольского района</t>
  </si>
  <si>
    <t>Материально-техническое обеспечение пожарной безопасности, в том числе обеспечение первичными средствами пожаротушения и пожарным инвентарем территорий и объектов защиты, находящихся в муниципальной собственности</t>
  </si>
  <si>
    <t>Подготовка и размещение информационных материалов на противопожарную тематику</t>
  </si>
  <si>
    <t>Подпрограмма 2 "Поддержка социально ориентированных некоммерческих организаций"</t>
  </si>
  <si>
    <t>Муниципальная программа "Развитие физической культуры и спорта" на 2021-2025 годы</t>
  </si>
  <si>
    <t xml:space="preserve">Подпрограмма 1 "Сохранение и развитие дополнительного образования в сфере культуры и искусства" </t>
  </si>
  <si>
    <t>Муниципальная программа "Энергосбережение и повышение энергетической эффективности" на 2021-2027 годы</t>
  </si>
  <si>
    <t xml:space="preserve">Подпрограмма 5 "Снос ветхого и аварийного жилищного фонда на территории сельских поселений Кольского района" </t>
  </si>
  <si>
    <t>Материальное поощрение народных дружинников, принимавших участие в обеспечении охраны общественного порядка на территории поселений Кольского района</t>
  </si>
  <si>
    <t xml:space="preserve">Подпрограмма 2 "Подготовка объектов жилищно-коммунального хозяйства муниципального образования Кольский район к работе в отопительный период" </t>
  </si>
  <si>
    <t xml:space="preserve">Субсидия бюджетам муниципальных образований на подготовку к отопительному периоду </t>
  </si>
  <si>
    <t xml:space="preserve">Расходы бюджета Кольского района на подготовку к отопительному периоду </t>
  </si>
  <si>
    <t>Расходы бюджета Кольского района на создание и содержание мест (площадок) накопления ТКО на территории сельских поселений Кольского района и г. Кола</t>
  </si>
  <si>
    <t>Субвенция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</si>
  <si>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</si>
  <si>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мер по информационной и материальной поддержке участников профилактической деятельности</t>
  </si>
  <si>
    <t>Стимулирование энергосбережения и повышение энергетической эффективности муниципальных учреждений</t>
  </si>
  <si>
    <t>Расходы бюджета Кольского района на предоставление бесплатного питания отдельным категориям обучающихся по образовательным программам начального общего образования</t>
  </si>
  <si>
    <t>Расходы на финансовое обеспечение муниципального задания на реализацию дополнительных общеразвивающих программ для детей в рамках исполнения  социального заказа на оказание муниципальных услуг в социальной сфере в соответствии с социальным сертификатом</t>
  </si>
  <si>
    <t>Субсидии в целях финансового обеспечения (возмещения) расходов дополнительных общеразвивающих программ для детей в рамках исполнения социального заказа на оказание муниципальных услуг в социальной сфере в соответствии с социальным сертификатом</t>
  </si>
  <si>
    <t xml:space="preserve">Подпрограмма 3 "Противодействие терроризму и экстремизму, предупреждение межнациональных конфликтов на территории Кольского района" </t>
  </si>
  <si>
    <t>Расходы на обеспечение деятельности (оказание услуг) подведомственных учреждений в целях вовлечения молодежи в социальную практику, формированиеделовой, экономической и политической активности, в том числе на предоставление муниципальным бюджетным и автономным учреждениям субсидий</t>
  </si>
  <si>
    <t xml:space="preserve">Подпрограмма 3 "Модернизация объектов коммунальной инфраструктуры" </t>
  </si>
  <si>
    <t>Всего</t>
  </si>
  <si>
    <t>Исполнено на</t>
  </si>
  <si>
    <t xml:space="preserve"> Исполнено на</t>
  </si>
  <si>
    <t>Расходы на обеспечение функций главы муниципального образования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</si>
  <si>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</si>
  <si>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</si>
  <si>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</si>
  <si>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Субвенция на реализацию Закона Мурманской области "Об административных комиссиях"</t>
  </si>
  <si>
    <t>Субвенция на реализацию Закона Мурманской области "О комиссиях по делам несовершеннолетних и защите их прав в Мурманской области"</t>
  </si>
  <si>
    <t>Расходы на приобретение вещевого имущества и предметов первой необходимости для оснащения защитного сооружения</t>
  </si>
  <si>
    <t>Обеспечение питанием добровольцев, принимавших участие в оказании помощи в ликвидации природных пожаров на территории сельских поселений Кольского района</t>
  </si>
  <si>
    <t>Оценка рыночной стоимости права заключения договора на установку и эксплуатацию рекламной конструкции на земельном участке, который находится в государственной собственности, муниципальной собственности или государственная собственность на которой не разграничена</t>
  </si>
  <si>
    <t xml:space="preserve">Расходы на выплаты по оплате труда работников органов местного самоуправления, выполняющих переданные полномочия поселений </t>
  </si>
  <si>
    <t>Материальное поощерение добровольцев, принимавших участие в оказании помощи в ликвидации природных пожаров на территории городских поселений Кольского района</t>
  </si>
  <si>
    <t>Расходы бюджета Кольского района на техническое сопровождение программного обеспечения "Система автоматизмрованного рабочего места муниципального образования"</t>
  </si>
  <si>
    <t>Расходы на единовременное поощерение за многолетнию безупречную муниципальную службу, выплачиваемую муниципальным служащим</t>
  </si>
  <si>
    <t>Расходы на выплаты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освобождений от замещаемой должности при увольнении</t>
  </si>
  <si>
    <t>Актуализация схемы территориального планирования Кольского района</t>
  </si>
  <si>
    <t>Расходы на выполнение работ по тушению лесных пожаров на землях сельских поселений, находящихся в границах территории муниципального образования Кольский район</t>
  </si>
  <si>
    <t>Субвенция на обеспечение бесплатным питанием отдельных категорий обучающихся</t>
  </si>
  <si>
    <t>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 за счет резервного фонда Правительства РФ</t>
  </si>
  <si>
    <t>Федеральный бюджет</t>
  </si>
  <si>
    <t>Подпрограмма 2 «Обеспечение отдыха и оздоровления детей»</t>
  </si>
  <si>
    <t>Подпрограмма 3 «Обеспечение качественного предоставления услуг (работ) в сфере дошкольного образования»</t>
  </si>
  <si>
    <t>Подпрограмма 4 «Обеспечение качественного предоставления услуг (работ) в сфере общего образования»</t>
  </si>
  <si>
    <t>Подпрограмма 5  «Обеспечение качественного предоставления услуг (работ) в сфере дополнительного образования»</t>
  </si>
  <si>
    <t>Подпрограмма 6 «Обеспечение организационно-методической деятельности муниципальных учреждений Кольского района»</t>
  </si>
  <si>
    <t>Расходы на содержание муниципального казенного учреждения "Хозяйственно-эксплуатационная служба Кольского района"</t>
  </si>
  <si>
    <t>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</si>
  <si>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>Профессиональная подготовка и повышение квалификации муниципальных служащих</t>
  </si>
  <si>
    <t>Субвенция местным бюджетам на осуществление органами местного самуправления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указанных в подпунктах 1-6,6,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</si>
  <si>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>Субвенция на предоставление мер социальной поддержки по оплате жилого помещения и коммунальных услуг детям-сиротам и детям, оставшихся без попечения родителей, лицам из числа детей-сирот и детей, оставшихся без попечения родителей</t>
  </si>
  <si>
    <t>Выравнивание бюджетной обеспеченности муниципальных образований</t>
  </si>
  <si>
    <t xml:space="preserve"> Поддержка мер по обеспечению сбалансированности местных бюджетов</t>
  </si>
  <si>
    <t>Реализация мероприятий по модернизации школьных систем образования (капитальный ремонт зданий муниципальных общеобразовательных организаций)</t>
  </si>
  <si>
    <t>Реализация мероприятий по модернизации школьных систем образования (капитальный ремонт зданий общеобразовательных организаций Кольского муниципального района)</t>
  </si>
  <si>
    <t>Субвенция на реализацию Закона Мурманской области "О патронате" в части финансирования расходов по выплате денежного вознаграждения лицам, осуществляющим постинтернатный патронат в отношении несовершеннолетних и социальный патронат</t>
  </si>
  <si>
    <t>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</si>
  <si>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Субсидии юридическим лицам и индивидуальным предпринимателям, осуществляющим деятельность по управлению многоквартирными домами или привлекаемым к выполнению работ в рамках задач по управлению многоквартирными домами, на обеспечение затрат на проведение аварийных работ и/ или капитального ремонта общего имущества многоквартирных домов и на проведение мероприятий, направленных на обеспечение энергоснабжения и повышение энергетической эффективности многоквартирных домов, расположенных на территории сельских поселений Кольского района</t>
  </si>
  <si>
    <t>Расходы бюджета Кольского района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</si>
  <si>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</si>
  <si>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на организацию мероприятий по обеспечению чистоты и порядка на территории муниципального образования</t>
  </si>
  <si>
    <t>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</si>
  <si>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Реализация мероприятий планов социального развития центров экономического роста субъектов РФ АЗРФ</t>
  </si>
  <si>
    <t>по итогам 1 квартала 2025 года</t>
  </si>
  <si>
    <t>Расходы бюджета Кольского района на реализацию мероприятий по модернизации школьных систем образования (Капитальный ремонт зданий общеобразовавательных организаций Кольского муниципального района)</t>
  </si>
  <si>
    <r>
      <t xml:space="preserve">Оценка выполнения </t>
    </r>
    <r>
      <rPr>
        <sz val="12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</si>
  <si>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Субсидии бюджета местным бюджетам на софенансирование расходов, направляемых на оплату труда и начисления на выплаты по оплате труда работникам муниципальных учреждений</t>
  </si>
  <si>
    <t>Субвенция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</si>
  <si>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</si>
  <si>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Субвенция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</si>
  <si>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обего образования</t>
  </si>
  <si>
    <t>Субсидия на предоставление бесплатного горячего питания отдельным категориям обучающихся по образовательным программам начального общего образования</t>
  </si>
  <si>
    <t xml:space="preserve">Расходы бюджета Кольского района 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</si>
  <si>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</si>
  <si>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Обеспечение выплат ежемесячного денежного вознграждения советникам директоров по воспитанию и взаимодействию с детскими общественными объединениями в общеобразовательных организаций субъектов РФ</t>
  </si>
  <si>
    <t>Субвенция из областного бюджета местым бюджетам на предоставление отдельным категориям педагогических работников компенсации расходов на оплату жилых помещений</t>
  </si>
  <si>
    <t>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8-11 классов общеобразовательных организаций Мурманской области</t>
  </si>
  <si>
    <t>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клубами.</t>
  </si>
  <si>
    <t>Расходы бюджета Кольского района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</si>
  <si>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</si>
  <si>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</si>
  <si>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строительству, реконструкции, модернизации и приобретению спортивных объектов Мурманской области</t>
  </si>
  <si>
    <t>Расходы бюджета Кольского района на реализацию мероприятий по строительству, реконструкции, модернизации и приобретению спортивных объектов Мурманской области</t>
  </si>
  <si>
    <t xml:space="preserve"> Субвенция из областного бюджета местным бюджетам на осуществление ремонта жилых помещений,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родителей, либо текущего ремонта жилых помещений, право пользования которыми сохранено за детьми-сиротами и детьми, оставшимися без попечения родителей, лицами из числа детей-сирот и детей, оставшихся без попечения родителейна предоставление жилых помещений детям-сиротам и детям, оставшимся без попечения родителей</t>
  </si>
  <si>
    <t>Обеспечение детей сирот и детей, оставшихся без попечения родителей, лиц из числа детей - сирот и детей, оставшихся без попечения родителей, жилыми помещениями</t>
  </si>
  <si>
    <t>Субвенция из областного бюджета местным бюджетам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</si>
  <si>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Предоставление социальных гарантий лицам, удостоенным звания "Почетный гражданин Кольского района"</t>
  </si>
  <si>
    <t>Информирование населения через средства массовой информации о культурно-массовых и праздничных мероприятий</t>
  </si>
  <si>
    <t>Региональный проект «Семейные ценности и инфраструктура культуры»</t>
  </si>
  <si>
    <t>Создание модельных муниципальных библиотек</t>
  </si>
  <si>
    <t>Предоставление субсидий социально ориентированным некоммерческим организациям, созданным в форме общественных организаций и осуществляющим деятельность в области спорта</t>
  </si>
  <si>
    <t xml:space="preserve">Развитие информационной системы управления муниципальными финансами </t>
  </si>
  <si>
    <t>Субсидия  на осуществление органами местного самоуправления государственных полномочий по предоставлению и организации выплат вознаграждения опекунам совершеннолетних недееспособных граждан</t>
  </si>
  <si>
    <t>Мероприятия по капитальному и текущему ремонту учреждений молодежной политики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</si>
  <si>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</si>
  <si>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подъездов и входных групп в МКД по адресу: Кольский район, с. Ура-Губа, ул. Рыбацкая, д. 28)</t>
  </si>
  <si>
    <t>Расходы бюджета Кольского района на реализацию инициативных проектов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</si>
  <si>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Расходы бюджета Кольского района на реализацию инициативных проектов (Ремонт подъездов и входных групп в МКД по адресу: Кольский район, с. Ура-Губа, ул. Рыбацкая, д. 28)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</si>
  <si>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</si>
  <si>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Расходы бюджета Кольского района на реализацию инициативных проектов</t>
  </si>
  <si>
    <t>Актуализация схем тепло-, водо-, электроснабжения в сельских поселениях Кольского района</t>
  </si>
  <si>
    <t>Расходы бюджета Кольского района на содержание мест захоронения Кольского района</t>
  </si>
  <si>
    <t xml:space="preserve">Подпрограмма 8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</si>
  <si>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>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</si>
  <si>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Бюджет Кольского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</si>
</sst>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16">
      <alignment vertical="top" wrapText="1"/>
    </xf>
    <xf numFmtId="4" fontId="10" fillId="3" borderId="16">
      <alignment horizontal="right" vertical="top" shrinkToFit="1"/>
    </xf>
  </cellStyleXfs>
  <cellXfs count="16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166" fontId="3" fillId="2" borderId="4" xfId="2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6" fontId="1" fillId="2" borderId="4" xfId="2" applyNumberFormat="1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right" vertical="center"/>
    </xf>
    <xf numFmtId="49" fontId="2" fillId="2" borderId="1" xfId="0" applyNumberFormat="1" applyFont="1" applyFill="1" applyBorder="1"/>
    <xf numFmtId="166" fontId="3" fillId="2" borderId="15" xfId="2" applyNumberFormat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 wrapText="1"/>
    </xf>
    <xf numFmtId="166" fontId="3" fillId="2" borderId="11" xfId="2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166" fontId="3" fillId="2" borderId="14" xfId="2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right" vertical="center" wrapText="1"/>
    </xf>
    <xf numFmtId="166" fontId="1" fillId="2" borderId="15" xfId="2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3" fontId="3" fillId="0" borderId="0" xfId="1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1" fillId="0" borderId="13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166" fontId="1" fillId="2" borderId="11" xfId="2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right" vertical="center" wrapText="1"/>
    </xf>
    <xf numFmtId="166" fontId="1" fillId="2" borderId="14" xfId="2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</cellXfs>
  <cellStyles count="5">
    <cellStyle name="xl37" xfId="3" xr:uid="{789482FE-031D-45E7-B951-472F8791647B}"/>
    <cellStyle name="xl38" xfId="4" xr:uid="{E4F0F646-D85F-4CFC-BAC9-61CFD752AB69}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5"/>
  <sheetViews>
    <sheetView tabSelected="1" zoomScale="118" zoomScaleNormal="118" workbookViewId="0">
      <selection activeCell="L11" sqref="L11"/>
    </sheetView>
  </sheetViews>
  <sheetFormatPr defaultRowHeight="15.75" x14ac:dyDescent="0.25"/>
  <cols>
    <col min="1" max="1" width="5.85546875" style="7" customWidth="1"/>
    <col min="2" max="2" width="47" style="8" customWidth="1"/>
    <col min="3" max="3" width="20.42578125" style="7" customWidth="1"/>
    <col min="4" max="4" width="18.7109375" style="7" customWidth="1"/>
    <col min="5" max="5" width="17" style="7" customWidth="1"/>
    <col min="6" max="6" width="19" style="7" customWidth="1"/>
    <col min="7" max="7" width="19.140625" style="7" customWidth="1"/>
    <col min="8" max="8" width="15.42578125" style="146" customWidth="1"/>
    <col min="9" max="9" width="10.5703125" style="132" bestFit="1" customWidth="1"/>
    <col min="10" max="16384" width="9.140625" style="1"/>
  </cols>
  <sheetData>
    <row r="1" spans="1:9" ht="18.75" customHeight="1" x14ac:dyDescent="0.25">
      <c r="A1" s="129" t="s">
        <v>5</v>
      </c>
      <c r="B1" s="129"/>
      <c r="C1" s="129"/>
      <c r="D1" s="129"/>
      <c r="E1" s="129"/>
      <c r="F1" s="129"/>
      <c r="G1" s="129"/>
      <c r="H1" s="129"/>
      <c r="I1" s="129"/>
    </row>
    <row r="2" spans="1:9" ht="18.75" customHeight="1" x14ac:dyDescent="0.25">
      <c r="A2" s="129" t="s">
        <v>4</v>
      </c>
      <c r="B2" s="129"/>
      <c r="C2" s="129"/>
      <c r="D2" s="129"/>
      <c r="E2" s="129"/>
      <c r="F2" s="129"/>
      <c r="G2" s="129"/>
      <c r="H2" s="129"/>
      <c r="I2" s="129"/>
    </row>
    <row r="3" spans="1:9" ht="18.75" customHeight="1" x14ac:dyDescent="0.25">
      <c r="A3" s="129" t="s">
        <v>0</v>
      </c>
      <c r="B3" s="129"/>
      <c r="C3" s="129"/>
      <c r="D3" s="129"/>
      <c r="E3" s="129"/>
      <c r="F3" s="129"/>
      <c r="G3" s="129"/>
      <c r="H3" s="129"/>
      <c r="I3" s="129"/>
    </row>
    <row r="4" spans="1:9" ht="18.75" customHeight="1" x14ac:dyDescent="0.25">
      <c r="A4" s="129" t="s">
        <v>216</v>
      </c>
      <c r="B4" s="129"/>
      <c r="C4" s="129"/>
      <c r="D4" s="129"/>
      <c r="E4" s="129"/>
      <c r="F4" s="129"/>
      <c r="G4" s="129"/>
      <c r="H4" s="129"/>
      <c r="I4" s="129"/>
    </row>
    <row r="5" spans="1:9" ht="15.75" customHeight="1" x14ac:dyDescent="0.25">
      <c r="A5" s="130"/>
      <c r="H5" s="131"/>
    </row>
    <row r="6" spans="1:9" s="7" customFormat="1" x14ac:dyDescent="0.25">
      <c r="A6" s="133" t="s">
        <v>2</v>
      </c>
      <c r="B6" s="134" t="s">
        <v>6</v>
      </c>
      <c r="C6" s="134" t="s">
        <v>1</v>
      </c>
      <c r="D6" s="117" t="s">
        <v>7</v>
      </c>
      <c r="E6" s="134" t="s">
        <v>8</v>
      </c>
      <c r="F6" s="133" t="s">
        <v>9</v>
      </c>
      <c r="G6" s="133"/>
      <c r="H6" s="135" t="s">
        <v>218</v>
      </c>
      <c r="I6" s="136"/>
    </row>
    <row r="7" spans="1:9" s="7" customFormat="1" ht="69" customHeight="1" x14ac:dyDescent="0.25">
      <c r="A7" s="133"/>
      <c r="B7" s="134"/>
      <c r="C7" s="134"/>
      <c r="D7" s="137"/>
      <c r="E7" s="134"/>
      <c r="F7" s="118" t="s">
        <v>11</v>
      </c>
      <c r="G7" s="118" t="s">
        <v>10</v>
      </c>
      <c r="H7" s="138"/>
      <c r="I7" s="139"/>
    </row>
    <row r="8" spans="1:9" s="7" customFormat="1" x14ac:dyDescent="0.25">
      <c r="A8" s="118">
        <v>1</v>
      </c>
      <c r="B8" s="114" t="s">
        <v>126</v>
      </c>
      <c r="C8" s="115"/>
      <c r="D8" s="115"/>
      <c r="E8" s="115"/>
      <c r="F8" s="115"/>
      <c r="G8" s="115"/>
      <c r="H8" s="115"/>
      <c r="I8" s="116"/>
    </row>
    <row r="9" spans="1:9" s="7" customFormat="1" x14ac:dyDescent="0.25">
      <c r="A9" s="140"/>
      <c r="B9" s="114" t="s">
        <v>28</v>
      </c>
      <c r="C9" s="115"/>
      <c r="D9" s="115"/>
      <c r="E9" s="115"/>
      <c r="F9" s="115"/>
      <c r="G9" s="115"/>
      <c r="H9" s="141"/>
      <c r="I9" s="136"/>
    </row>
    <row r="10" spans="1:9" s="7" customFormat="1" ht="31.5" x14ac:dyDescent="0.25">
      <c r="A10" s="11"/>
      <c r="B10" s="59" t="s">
        <v>29</v>
      </c>
      <c r="C10" s="59" t="s">
        <v>13</v>
      </c>
      <c r="D10" s="12">
        <v>37691.56</v>
      </c>
      <c r="E10" s="12">
        <v>12691.56</v>
      </c>
      <c r="F10" s="12">
        <v>9407.1299999999992</v>
      </c>
      <c r="G10" s="12">
        <v>9344.85</v>
      </c>
      <c r="H10" s="147" t="s">
        <v>173</v>
      </c>
      <c r="I10" s="14">
        <f t="shared" ref="I10:I26" si="0">ROUND(G10/E10,4)</f>
        <v>0.73629999999999995</v>
      </c>
    </row>
    <row r="11" spans="1:9" s="7" customFormat="1" ht="47.25" x14ac:dyDescent="0.25">
      <c r="A11" s="11"/>
      <c r="B11" s="59" t="s">
        <v>30</v>
      </c>
      <c r="C11" s="59" t="s">
        <v>13</v>
      </c>
      <c r="D11" s="12">
        <v>1061.1300000000001</v>
      </c>
      <c r="E11" s="12">
        <v>803.13</v>
      </c>
      <c r="F11" s="12">
        <v>504.35</v>
      </c>
      <c r="G11" s="12">
        <v>504.35</v>
      </c>
      <c r="H11" s="147" t="s">
        <v>173</v>
      </c>
      <c r="I11" s="14">
        <f t="shared" si="0"/>
        <v>0.628</v>
      </c>
    </row>
    <row r="12" spans="1:9" s="7" customFormat="1" ht="47.25" x14ac:dyDescent="0.25">
      <c r="A12" s="11"/>
      <c r="B12" s="59" t="s">
        <v>32</v>
      </c>
      <c r="C12" s="59" t="s">
        <v>13</v>
      </c>
      <c r="D12" s="12">
        <v>900</v>
      </c>
      <c r="E12" s="12">
        <v>450</v>
      </c>
      <c r="F12" s="12">
        <v>0</v>
      </c>
      <c r="G12" s="12">
        <v>0</v>
      </c>
      <c r="H12" s="147" t="s">
        <v>173</v>
      </c>
      <c r="I12" s="14">
        <f t="shared" si="0"/>
        <v>0</v>
      </c>
    </row>
    <row r="13" spans="1:9" s="7" customFormat="1" ht="47.25" x14ac:dyDescent="0.25">
      <c r="A13" s="11"/>
      <c r="B13" s="59" t="s">
        <v>215</v>
      </c>
      <c r="C13" s="59" t="s">
        <v>13</v>
      </c>
      <c r="D13" s="12">
        <v>206912.3</v>
      </c>
      <c r="E13" s="12">
        <v>206912.3</v>
      </c>
      <c r="F13" s="12">
        <v>0</v>
      </c>
      <c r="G13" s="12">
        <v>0</v>
      </c>
      <c r="H13" s="147" t="s">
        <v>173</v>
      </c>
      <c r="I13" s="14">
        <f t="shared" si="0"/>
        <v>0</v>
      </c>
    </row>
    <row r="14" spans="1:9" s="7" customFormat="1" ht="31.5" x14ac:dyDescent="0.25">
      <c r="A14" s="11"/>
      <c r="B14" s="59" t="s">
        <v>33</v>
      </c>
      <c r="C14" s="59" t="s">
        <v>13</v>
      </c>
      <c r="D14" s="12">
        <v>300</v>
      </c>
      <c r="E14" s="12">
        <v>150</v>
      </c>
      <c r="F14" s="12">
        <v>0</v>
      </c>
      <c r="G14" s="12">
        <v>0</v>
      </c>
      <c r="H14" s="147" t="s">
        <v>173</v>
      </c>
      <c r="I14" s="14">
        <f t="shared" si="0"/>
        <v>0</v>
      </c>
    </row>
    <row r="15" spans="1:9" s="7" customFormat="1" ht="47.25" x14ac:dyDescent="0.25">
      <c r="A15" s="148"/>
      <c r="B15" s="60" t="s">
        <v>53</v>
      </c>
      <c r="C15" s="59" t="s">
        <v>13</v>
      </c>
      <c r="D15" s="12">
        <v>120</v>
      </c>
      <c r="E15" s="12">
        <v>60</v>
      </c>
      <c r="F15" s="12">
        <v>0</v>
      </c>
      <c r="G15" s="12">
        <v>0</v>
      </c>
      <c r="H15" s="147" t="s">
        <v>173</v>
      </c>
      <c r="I15" s="14">
        <f t="shared" si="0"/>
        <v>0</v>
      </c>
    </row>
    <row r="16" spans="1:9" s="7" customFormat="1" ht="31.5" x14ac:dyDescent="0.25">
      <c r="A16" s="148"/>
      <c r="B16" s="60" t="s">
        <v>31</v>
      </c>
      <c r="C16" s="59" t="s">
        <v>13</v>
      </c>
      <c r="D16" s="12">
        <v>882</v>
      </c>
      <c r="E16" s="12">
        <v>511</v>
      </c>
      <c r="F16" s="12">
        <v>0</v>
      </c>
      <c r="G16" s="12">
        <v>0</v>
      </c>
      <c r="H16" s="147" t="s">
        <v>173</v>
      </c>
      <c r="I16" s="14">
        <f t="shared" si="0"/>
        <v>0</v>
      </c>
    </row>
    <row r="17" spans="1:9" s="7" customFormat="1" ht="94.5" x14ac:dyDescent="0.25">
      <c r="A17" s="148"/>
      <c r="B17" s="60" t="s">
        <v>217</v>
      </c>
      <c r="C17" s="59" t="s">
        <v>13</v>
      </c>
      <c r="D17" s="12">
        <v>12804.38</v>
      </c>
      <c r="E17" s="12">
        <v>12804.38</v>
      </c>
      <c r="F17" s="12">
        <v>0</v>
      </c>
      <c r="G17" s="12">
        <v>0</v>
      </c>
      <c r="H17" s="147" t="s">
        <v>173</v>
      </c>
      <c r="I17" s="14">
        <f t="shared" si="0"/>
        <v>0</v>
      </c>
    </row>
    <row r="18" spans="1:9" s="7" customFormat="1" ht="31.5" x14ac:dyDescent="0.25">
      <c r="A18" s="149"/>
      <c r="B18" s="108" t="s">
        <v>214</v>
      </c>
      <c r="C18" s="59" t="s">
        <v>101</v>
      </c>
      <c r="D18" s="12">
        <v>22537.3</v>
      </c>
      <c r="E18" s="12">
        <v>22537.3</v>
      </c>
      <c r="F18" s="38">
        <v>0</v>
      </c>
      <c r="G18" s="12">
        <v>0</v>
      </c>
      <c r="H18" s="147" t="s">
        <v>173</v>
      </c>
      <c r="I18" s="14">
        <f t="shared" si="0"/>
        <v>0</v>
      </c>
    </row>
    <row r="19" spans="1:9" s="7" customFormat="1" ht="31.5" x14ac:dyDescent="0.25">
      <c r="A19" s="150"/>
      <c r="B19" s="109"/>
      <c r="C19" s="59" t="s">
        <v>13</v>
      </c>
      <c r="D19" s="18">
        <v>2100.4</v>
      </c>
      <c r="E19" s="18">
        <v>2100.4</v>
      </c>
      <c r="F19" s="18">
        <v>0</v>
      </c>
      <c r="G19" s="18">
        <v>0</v>
      </c>
      <c r="H19" s="147" t="s">
        <v>173</v>
      </c>
      <c r="I19" s="14">
        <f t="shared" si="0"/>
        <v>0</v>
      </c>
    </row>
    <row r="20" spans="1:9" s="7" customFormat="1" ht="63" customHeight="1" x14ac:dyDescent="0.25">
      <c r="A20" s="149"/>
      <c r="B20" s="108" t="s">
        <v>206</v>
      </c>
      <c r="C20" s="151" t="s">
        <v>101</v>
      </c>
      <c r="D20" s="152">
        <v>84973.1</v>
      </c>
      <c r="E20" s="152">
        <v>84973.1</v>
      </c>
      <c r="F20" s="38">
        <v>0</v>
      </c>
      <c r="G20" s="12">
        <v>0</v>
      </c>
      <c r="H20" s="147" t="s">
        <v>173</v>
      </c>
      <c r="I20" s="14">
        <f t="shared" si="0"/>
        <v>0</v>
      </c>
    </row>
    <row r="21" spans="1:9" s="7" customFormat="1" ht="31.5" x14ac:dyDescent="0.25">
      <c r="A21" s="150"/>
      <c r="B21" s="109"/>
      <c r="C21" s="151" t="s">
        <v>13</v>
      </c>
      <c r="D21" s="152">
        <v>7919.1</v>
      </c>
      <c r="E21" s="152">
        <v>7919.1</v>
      </c>
      <c r="F21" s="38">
        <v>0</v>
      </c>
      <c r="G21" s="12">
        <v>0</v>
      </c>
      <c r="H21" s="147" t="s">
        <v>173</v>
      </c>
      <c r="I21" s="14">
        <f t="shared" si="0"/>
        <v>0</v>
      </c>
    </row>
    <row r="22" spans="1:9" s="7" customFormat="1" ht="78.75" customHeight="1" x14ac:dyDescent="0.25">
      <c r="A22" s="148"/>
      <c r="B22" s="60" t="s">
        <v>207</v>
      </c>
      <c r="C22" s="151" t="s">
        <v>15</v>
      </c>
      <c r="D22" s="12">
        <v>33757.01</v>
      </c>
      <c r="E22" s="12">
        <v>33757.01</v>
      </c>
      <c r="F22" s="12">
        <v>0</v>
      </c>
      <c r="G22" s="12">
        <v>0</v>
      </c>
      <c r="H22" s="147" t="s">
        <v>173</v>
      </c>
      <c r="I22" s="14">
        <f t="shared" si="0"/>
        <v>0</v>
      </c>
    </row>
    <row r="23" spans="1:9" s="7" customFormat="1" x14ac:dyDescent="0.25">
      <c r="A23" s="85"/>
      <c r="B23" s="81" t="s">
        <v>17</v>
      </c>
      <c r="C23" s="58" t="s">
        <v>16</v>
      </c>
      <c r="D23" s="15">
        <f>D24+D25+D26</f>
        <v>411958.28</v>
      </c>
      <c r="E23" s="15">
        <f>E24+E25+E26</f>
        <v>385669.28</v>
      </c>
      <c r="F23" s="15">
        <f>F24+F25+F26</f>
        <v>9911.48</v>
      </c>
      <c r="G23" s="15">
        <f>G24+G25+G26</f>
        <v>9849.2000000000007</v>
      </c>
      <c r="H23" s="153" t="s">
        <v>173</v>
      </c>
      <c r="I23" s="17">
        <f t="shared" si="0"/>
        <v>2.5499999999999998E-2</v>
      </c>
    </row>
    <row r="24" spans="1:9" s="7" customFormat="1" ht="31.5" x14ac:dyDescent="0.25">
      <c r="A24" s="86"/>
      <c r="B24" s="87"/>
      <c r="C24" s="59" t="s">
        <v>101</v>
      </c>
      <c r="D24" s="12">
        <f>D18+D20</f>
        <v>107510.40000000001</v>
      </c>
      <c r="E24" s="12">
        <f t="shared" ref="E24:G24" si="1">E18+E20</f>
        <v>107510.40000000001</v>
      </c>
      <c r="F24" s="12">
        <f t="shared" si="1"/>
        <v>0</v>
      </c>
      <c r="G24" s="12">
        <f t="shared" si="1"/>
        <v>0</v>
      </c>
      <c r="H24" s="147" t="s">
        <v>173</v>
      </c>
      <c r="I24" s="14">
        <f t="shared" si="0"/>
        <v>0</v>
      </c>
    </row>
    <row r="25" spans="1:9" s="7" customFormat="1" ht="47.25" x14ac:dyDescent="0.25">
      <c r="A25" s="86"/>
      <c r="B25" s="87"/>
      <c r="C25" s="59" t="s">
        <v>15</v>
      </c>
      <c r="D25" s="12">
        <f>D22</f>
        <v>33757.01</v>
      </c>
      <c r="E25" s="12">
        <f t="shared" ref="E25:G25" si="2">E22</f>
        <v>33757.01</v>
      </c>
      <c r="F25" s="12">
        <f t="shared" si="2"/>
        <v>0</v>
      </c>
      <c r="G25" s="12">
        <f t="shared" si="2"/>
        <v>0</v>
      </c>
      <c r="H25" s="147" t="s">
        <v>173</v>
      </c>
      <c r="I25" s="14">
        <f t="shared" si="0"/>
        <v>0</v>
      </c>
    </row>
    <row r="26" spans="1:9" s="7" customFormat="1" ht="31.5" x14ac:dyDescent="0.25">
      <c r="A26" s="86"/>
      <c r="B26" s="87"/>
      <c r="C26" s="59" t="s">
        <v>13</v>
      </c>
      <c r="D26" s="12">
        <f>D10+D11+D12+D13+D14+D15+D16+D17+D19+D21</f>
        <v>270690.87</v>
      </c>
      <c r="E26" s="12">
        <f t="shared" ref="E26:G26" si="3">E10+E11+E12+E13+E14+E15+E16+E17+E19+E21</f>
        <v>244401.87</v>
      </c>
      <c r="F26" s="12">
        <f t="shared" si="3"/>
        <v>9911.48</v>
      </c>
      <c r="G26" s="12">
        <f t="shared" si="3"/>
        <v>9849.2000000000007</v>
      </c>
      <c r="H26" s="147" t="s">
        <v>173</v>
      </c>
      <c r="I26" s="14">
        <f t="shared" si="0"/>
        <v>4.0300000000000002E-2</v>
      </c>
    </row>
    <row r="27" spans="1:9" x14ac:dyDescent="0.25">
      <c r="A27" s="22"/>
      <c r="B27" s="75" t="s">
        <v>194</v>
      </c>
      <c r="C27" s="76"/>
      <c r="D27" s="76"/>
      <c r="E27" s="76"/>
      <c r="F27" s="76"/>
      <c r="G27" s="76"/>
      <c r="H27" s="76"/>
      <c r="I27" s="77"/>
    </row>
    <row r="28" spans="1:9" s="7" customFormat="1" ht="78.75" x14ac:dyDescent="0.25">
      <c r="A28" s="11"/>
      <c r="B28" s="59" t="s">
        <v>34</v>
      </c>
      <c r="C28" s="59" t="s">
        <v>13</v>
      </c>
      <c r="D28" s="12">
        <v>1409.2</v>
      </c>
      <c r="E28" s="12">
        <v>704.6</v>
      </c>
      <c r="F28" s="12">
        <v>0</v>
      </c>
      <c r="G28" s="12">
        <v>0</v>
      </c>
      <c r="H28" s="13" t="s">
        <v>173</v>
      </c>
      <c r="I28" s="14">
        <f t="shared" ref="I28:I33" si="4">ROUND(G28/E28,4)</f>
        <v>0</v>
      </c>
    </row>
    <row r="29" spans="1:9" s="7" customFormat="1" ht="47.25" x14ac:dyDescent="0.25">
      <c r="A29" s="11"/>
      <c r="B29" s="59" t="s">
        <v>61</v>
      </c>
      <c r="C29" s="59" t="s">
        <v>15</v>
      </c>
      <c r="D29" s="12">
        <v>3383.5</v>
      </c>
      <c r="E29" s="12">
        <v>3383.5</v>
      </c>
      <c r="F29" s="12">
        <v>0</v>
      </c>
      <c r="G29" s="12">
        <v>0</v>
      </c>
      <c r="H29" s="154" t="s">
        <v>173</v>
      </c>
      <c r="I29" s="23">
        <f t="shared" si="4"/>
        <v>0</v>
      </c>
    </row>
    <row r="30" spans="1:9" s="7" customFormat="1" ht="63" x14ac:dyDescent="0.25">
      <c r="A30" s="11"/>
      <c r="B30" s="59" t="s">
        <v>62</v>
      </c>
      <c r="C30" s="59" t="s">
        <v>13</v>
      </c>
      <c r="D30" s="12">
        <v>1283.4000000000001</v>
      </c>
      <c r="E30" s="12">
        <v>1283.4000000000001</v>
      </c>
      <c r="F30" s="12">
        <v>0</v>
      </c>
      <c r="G30" s="12">
        <v>0</v>
      </c>
      <c r="H30" s="24" t="s">
        <v>173</v>
      </c>
      <c r="I30" s="25">
        <f t="shared" si="4"/>
        <v>0</v>
      </c>
    </row>
    <row r="31" spans="1:9" s="7" customFormat="1" x14ac:dyDescent="0.25">
      <c r="A31" s="84"/>
      <c r="B31" s="78" t="s">
        <v>17</v>
      </c>
      <c r="C31" s="58" t="s">
        <v>16</v>
      </c>
      <c r="D31" s="15">
        <f>D32+D33</f>
        <v>6076.1</v>
      </c>
      <c r="E31" s="15">
        <f>E32+E33</f>
        <v>5371.5</v>
      </c>
      <c r="F31" s="15">
        <f>F32+F33</f>
        <v>0</v>
      </c>
      <c r="G31" s="15">
        <f>G32+G33</f>
        <v>0</v>
      </c>
      <c r="H31" s="155" t="s">
        <v>173</v>
      </c>
      <c r="I31" s="156">
        <f t="shared" si="4"/>
        <v>0</v>
      </c>
    </row>
    <row r="32" spans="1:9" s="7" customFormat="1" ht="31.5" x14ac:dyDescent="0.25">
      <c r="A32" s="84"/>
      <c r="B32" s="79"/>
      <c r="C32" s="59" t="s">
        <v>13</v>
      </c>
      <c r="D32" s="12">
        <f>D28+D30</f>
        <v>2692.6000000000004</v>
      </c>
      <c r="E32" s="12">
        <f>E28+E30</f>
        <v>1988</v>
      </c>
      <c r="F32" s="12">
        <f>F28+F30</f>
        <v>0</v>
      </c>
      <c r="G32" s="12">
        <f>G28+G30</f>
        <v>0</v>
      </c>
      <c r="H32" s="24" t="s">
        <v>173</v>
      </c>
      <c r="I32" s="25">
        <f t="shared" si="4"/>
        <v>0</v>
      </c>
    </row>
    <row r="33" spans="1:14" s="7" customFormat="1" ht="47.25" x14ac:dyDescent="0.25">
      <c r="A33" s="84"/>
      <c r="B33" s="79"/>
      <c r="C33" s="59" t="s">
        <v>15</v>
      </c>
      <c r="D33" s="12">
        <f>D29</f>
        <v>3383.5</v>
      </c>
      <c r="E33" s="12">
        <f>E29</f>
        <v>3383.5</v>
      </c>
      <c r="F33" s="12">
        <f>F29</f>
        <v>0</v>
      </c>
      <c r="G33" s="12">
        <f>G29</f>
        <v>0</v>
      </c>
      <c r="H33" s="13" t="s">
        <v>173</v>
      </c>
      <c r="I33" s="14">
        <f t="shared" si="4"/>
        <v>0</v>
      </c>
    </row>
    <row r="34" spans="1:14" s="2" customFormat="1" x14ac:dyDescent="0.25">
      <c r="A34" s="26"/>
      <c r="B34" s="75" t="s">
        <v>195</v>
      </c>
      <c r="C34" s="76"/>
      <c r="D34" s="76"/>
      <c r="E34" s="76"/>
      <c r="F34" s="76"/>
      <c r="G34" s="76"/>
      <c r="H34" s="76"/>
      <c r="I34" s="77"/>
      <c r="J34" s="113"/>
      <c r="K34" s="113"/>
      <c r="L34" s="113"/>
      <c r="M34" s="113"/>
      <c r="N34" s="113"/>
    </row>
    <row r="35" spans="1:14" s="10" customFormat="1" ht="78.75" x14ac:dyDescent="0.25">
      <c r="A35" s="11"/>
      <c r="B35" s="59" t="s">
        <v>26</v>
      </c>
      <c r="C35" s="59" t="s">
        <v>13</v>
      </c>
      <c r="D35" s="12">
        <v>388131.97</v>
      </c>
      <c r="E35" s="12">
        <v>359770.23</v>
      </c>
      <c r="F35" s="12">
        <v>100937.24</v>
      </c>
      <c r="G35" s="12">
        <v>100724.74</v>
      </c>
      <c r="H35" s="24" t="s">
        <v>173</v>
      </c>
      <c r="I35" s="25">
        <f t="shared" ref="I35:I43" si="5">ROUND(G35/E35,4)</f>
        <v>0.28000000000000003</v>
      </c>
    </row>
    <row r="36" spans="1:14" s="10" customFormat="1" ht="78.75" x14ac:dyDescent="0.25">
      <c r="A36" s="11"/>
      <c r="B36" s="59" t="s">
        <v>25</v>
      </c>
      <c r="C36" s="59" t="s">
        <v>13</v>
      </c>
      <c r="D36" s="12">
        <v>9200</v>
      </c>
      <c r="E36" s="12">
        <v>4600</v>
      </c>
      <c r="F36" s="12">
        <v>258.74</v>
      </c>
      <c r="G36" s="12">
        <v>258.74</v>
      </c>
      <c r="H36" s="24" t="s">
        <v>173</v>
      </c>
      <c r="I36" s="25">
        <f t="shared" si="5"/>
        <v>5.62E-2</v>
      </c>
    </row>
    <row r="37" spans="1:14" s="10" customFormat="1" ht="78.75" x14ac:dyDescent="0.25">
      <c r="A37" s="11"/>
      <c r="B37" s="59" t="s">
        <v>219</v>
      </c>
      <c r="C37" s="59" t="s">
        <v>15</v>
      </c>
      <c r="D37" s="12">
        <v>14418.65</v>
      </c>
      <c r="E37" s="12">
        <v>14418.65</v>
      </c>
      <c r="F37" s="12">
        <v>3604.66</v>
      </c>
      <c r="G37" s="12">
        <v>3604.66</v>
      </c>
      <c r="H37" s="24" t="s">
        <v>173</v>
      </c>
      <c r="I37" s="25">
        <f t="shared" si="5"/>
        <v>0.25</v>
      </c>
    </row>
    <row r="38" spans="1:14" s="10" customFormat="1" ht="63" x14ac:dyDescent="0.25">
      <c r="A38" s="11"/>
      <c r="B38" s="59" t="s">
        <v>220</v>
      </c>
      <c r="C38" s="59" t="s">
        <v>15</v>
      </c>
      <c r="D38" s="12">
        <v>500870.40000000002</v>
      </c>
      <c r="E38" s="12">
        <v>500870.40000000002</v>
      </c>
      <c r="F38" s="12">
        <v>89300</v>
      </c>
      <c r="G38" s="12">
        <v>89300</v>
      </c>
      <c r="H38" s="13" t="s">
        <v>173</v>
      </c>
      <c r="I38" s="25">
        <f t="shared" si="5"/>
        <v>0.17829999999999999</v>
      </c>
    </row>
    <row r="39" spans="1:14" s="10" customFormat="1" ht="78.75" x14ac:dyDescent="0.25">
      <c r="A39" s="11"/>
      <c r="B39" s="59" t="s">
        <v>64</v>
      </c>
      <c r="C39" s="59" t="s">
        <v>13</v>
      </c>
      <c r="D39" s="12">
        <v>5469.14</v>
      </c>
      <c r="E39" s="12">
        <v>5469.14</v>
      </c>
      <c r="F39" s="12">
        <v>1367.28</v>
      </c>
      <c r="G39" s="12">
        <v>1367.28</v>
      </c>
      <c r="H39" s="157" t="s">
        <v>173</v>
      </c>
      <c r="I39" s="14">
        <f t="shared" si="5"/>
        <v>0.25</v>
      </c>
    </row>
    <row r="40" spans="1:14" s="10" customFormat="1" ht="94.5" x14ac:dyDescent="0.25">
      <c r="A40" s="11"/>
      <c r="B40" s="59" t="s">
        <v>125</v>
      </c>
      <c r="C40" s="59" t="s">
        <v>13</v>
      </c>
      <c r="D40" s="12">
        <v>50</v>
      </c>
      <c r="E40" s="12">
        <v>50</v>
      </c>
      <c r="F40" s="12">
        <v>0</v>
      </c>
      <c r="G40" s="12">
        <v>0</v>
      </c>
      <c r="H40" s="157" t="s">
        <v>173</v>
      </c>
      <c r="I40" s="27">
        <f t="shared" si="5"/>
        <v>0</v>
      </c>
    </row>
    <row r="41" spans="1:14" s="7" customFormat="1" x14ac:dyDescent="0.25">
      <c r="A41" s="84"/>
      <c r="B41" s="78" t="s">
        <v>17</v>
      </c>
      <c r="C41" s="58" t="s">
        <v>16</v>
      </c>
      <c r="D41" s="15">
        <f>D42+D43</f>
        <v>918140.16</v>
      </c>
      <c r="E41" s="15">
        <f>E42+E43</f>
        <v>885178.42</v>
      </c>
      <c r="F41" s="15">
        <f>F42+F43</f>
        <v>195467.92</v>
      </c>
      <c r="G41" s="15">
        <f>G42+G43</f>
        <v>195255.42</v>
      </c>
      <c r="H41" s="158" t="s">
        <v>173</v>
      </c>
      <c r="I41" s="159">
        <f t="shared" si="5"/>
        <v>0.22059999999999999</v>
      </c>
    </row>
    <row r="42" spans="1:14" s="7" customFormat="1" ht="31.5" x14ac:dyDescent="0.25">
      <c r="A42" s="84"/>
      <c r="B42" s="79"/>
      <c r="C42" s="59" t="s">
        <v>13</v>
      </c>
      <c r="D42" s="12">
        <f>D35+D36+D39+D40</f>
        <v>402851.11</v>
      </c>
      <c r="E42" s="12">
        <f t="shared" ref="E42:G42" si="6">E35+E36+E39+E40</f>
        <v>369889.37</v>
      </c>
      <c r="F42" s="12">
        <f t="shared" si="6"/>
        <v>102563.26000000001</v>
      </c>
      <c r="G42" s="12">
        <f t="shared" si="6"/>
        <v>102350.76000000001</v>
      </c>
      <c r="H42" s="157" t="s">
        <v>173</v>
      </c>
      <c r="I42" s="27">
        <f t="shared" si="5"/>
        <v>0.2767</v>
      </c>
    </row>
    <row r="43" spans="1:14" s="7" customFormat="1" ht="47.25" x14ac:dyDescent="0.25">
      <c r="A43" s="84"/>
      <c r="B43" s="79"/>
      <c r="C43" s="59" t="s">
        <v>15</v>
      </c>
      <c r="D43" s="12">
        <f>D37+D38</f>
        <v>515289.05000000005</v>
      </c>
      <c r="E43" s="12">
        <f>E37+E38</f>
        <v>515289.05000000005</v>
      </c>
      <c r="F43" s="12">
        <f>F37+F38</f>
        <v>92904.66</v>
      </c>
      <c r="G43" s="12">
        <f>G37+G38</f>
        <v>92904.66</v>
      </c>
      <c r="H43" s="157" t="s">
        <v>173</v>
      </c>
      <c r="I43" s="27">
        <f t="shared" si="5"/>
        <v>0.18029999999999999</v>
      </c>
    </row>
    <row r="44" spans="1:14" s="2" customFormat="1" x14ac:dyDescent="0.25">
      <c r="A44" s="26"/>
      <c r="B44" s="75" t="s">
        <v>196</v>
      </c>
      <c r="C44" s="76"/>
      <c r="D44" s="76"/>
      <c r="E44" s="76"/>
      <c r="F44" s="76"/>
      <c r="G44" s="76"/>
      <c r="H44" s="76"/>
      <c r="I44" s="77"/>
      <c r="J44" s="113"/>
      <c r="K44" s="113"/>
      <c r="L44" s="113"/>
      <c r="M44" s="113"/>
      <c r="N44" s="113"/>
    </row>
    <row r="45" spans="1:14" s="10" customFormat="1" ht="78.75" x14ac:dyDescent="0.25">
      <c r="A45" s="11"/>
      <c r="B45" s="59" t="s">
        <v>35</v>
      </c>
      <c r="C45" s="59" t="s">
        <v>13</v>
      </c>
      <c r="D45" s="12">
        <v>208854.6</v>
      </c>
      <c r="E45" s="12">
        <v>171600.86</v>
      </c>
      <c r="F45" s="12">
        <v>60224.2</v>
      </c>
      <c r="G45" s="12">
        <v>60045.74</v>
      </c>
      <c r="H45" s="13" t="s">
        <v>173</v>
      </c>
      <c r="I45" s="14">
        <f t="shared" ref="I45:I61" si="7">ROUND(G45/E45,4)</f>
        <v>0.34989999999999999</v>
      </c>
    </row>
    <row r="46" spans="1:14" s="10" customFormat="1" ht="78.75" x14ac:dyDescent="0.25">
      <c r="A46" s="11"/>
      <c r="B46" s="59" t="s">
        <v>221</v>
      </c>
      <c r="C46" s="59" t="s">
        <v>13</v>
      </c>
      <c r="D46" s="12">
        <v>8200</v>
      </c>
      <c r="E46" s="12">
        <v>4100</v>
      </c>
      <c r="F46" s="12">
        <v>699.21</v>
      </c>
      <c r="G46" s="12">
        <v>699.21</v>
      </c>
      <c r="H46" s="13" t="s">
        <v>173</v>
      </c>
      <c r="I46" s="14">
        <f t="shared" si="7"/>
        <v>0.17050000000000001</v>
      </c>
    </row>
    <row r="47" spans="1:14" s="10" customFormat="1" ht="110.25" x14ac:dyDescent="0.25">
      <c r="A47" s="11"/>
      <c r="B47" s="59" t="s">
        <v>222</v>
      </c>
      <c r="C47" s="59" t="s">
        <v>15</v>
      </c>
      <c r="D47" s="28">
        <v>1253.8</v>
      </c>
      <c r="E47" s="28">
        <v>1253.8</v>
      </c>
      <c r="F47" s="28">
        <v>270</v>
      </c>
      <c r="G47" s="28">
        <v>270</v>
      </c>
      <c r="H47" s="13" t="s">
        <v>173</v>
      </c>
      <c r="I47" s="14">
        <f t="shared" si="7"/>
        <v>0.21529999999999999</v>
      </c>
    </row>
    <row r="48" spans="1:14" s="10" customFormat="1" ht="63" x14ac:dyDescent="0.25">
      <c r="A48" s="11"/>
      <c r="B48" s="59" t="s">
        <v>220</v>
      </c>
      <c r="C48" s="59" t="s">
        <v>15</v>
      </c>
      <c r="D48" s="12">
        <v>823833.2</v>
      </c>
      <c r="E48" s="12">
        <v>823833.2</v>
      </c>
      <c r="F48" s="12">
        <v>140300</v>
      </c>
      <c r="G48" s="12">
        <v>140300</v>
      </c>
      <c r="H48" s="13" t="s">
        <v>173</v>
      </c>
      <c r="I48" s="14">
        <f t="shared" si="7"/>
        <v>0.17030000000000001</v>
      </c>
    </row>
    <row r="49" spans="1:9" s="10" customFormat="1" ht="47.25" x14ac:dyDescent="0.25">
      <c r="A49" s="11"/>
      <c r="B49" s="59" t="s">
        <v>191</v>
      </c>
      <c r="C49" s="59" t="s">
        <v>15</v>
      </c>
      <c r="D49" s="12">
        <v>23131.599999999999</v>
      </c>
      <c r="E49" s="12">
        <v>23131.599999999999</v>
      </c>
      <c r="F49" s="12">
        <v>5400</v>
      </c>
      <c r="G49" s="12">
        <v>5400</v>
      </c>
      <c r="H49" s="13" t="s">
        <v>173</v>
      </c>
      <c r="I49" s="14">
        <f t="shared" si="7"/>
        <v>0.2334</v>
      </c>
    </row>
    <row r="50" spans="1:9" s="10" customFormat="1" ht="78.75" x14ac:dyDescent="0.25">
      <c r="A50" s="11"/>
      <c r="B50" s="59" t="s">
        <v>166</v>
      </c>
      <c r="C50" s="59" t="s">
        <v>13</v>
      </c>
      <c r="D50" s="12">
        <v>166</v>
      </c>
      <c r="E50" s="12">
        <v>166</v>
      </c>
      <c r="F50" s="12">
        <v>29.59</v>
      </c>
      <c r="G50" s="12">
        <v>29.59</v>
      </c>
      <c r="H50" s="13" t="s">
        <v>173</v>
      </c>
      <c r="I50" s="14">
        <f t="shared" si="7"/>
        <v>0.17829999999999999</v>
      </c>
    </row>
    <row r="51" spans="1:9" s="10" customFormat="1" ht="110.25" x14ac:dyDescent="0.25">
      <c r="A51" s="11"/>
      <c r="B51" s="59" t="s">
        <v>54</v>
      </c>
      <c r="C51" s="59" t="s">
        <v>13</v>
      </c>
      <c r="D51" s="28">
        <v>3151.9</v>
      </c>
      <c r="E51" s="28">
        <v>3151.9</v>
      </c>
      <c r="F51" s="28">
        <v>952</v>
      </c>
      <c r="G51" s="28">
        <v>952</v>
      </c>
      <c r="H51" s="13" t="s">
        <v>173</v>
      </c>
      <c r="I51" s="14">
        <f t="shared" si="7"/>
        <v>0.30199999999999999</v>
      </c>
    </row>
    <row r="52" spans="1:9" s="10" customFormat="1" ht="141.75" x14ac:dyDescent="0.25">
      <c r="A52" s="11"/>
      <c r="B52" s="59" t="s">
        <v>223</v>
      </c>
      <c r="C52" s="59" t="s">
        <v>101</v>
      </c>
      <c r="D52" s="12">
        <v>74966.8</v>
      </c>
      <c r="E52" s="12">
        <v>74966.8</v>
      </c>
      <c r="F52" s="12">
        <v>12392</v>
      </c>
      <c r="G52" s="12">
        <v>12392</v>
      </c>
      <c r="H52" s="13" t="s">
        <v>173</v>
      </c>
      <c r="I52" s="14">
        <f t="shared" si="7"/>
        <v>0.1653</v>
      </c>
    </row>
    <row r="53" spans="1:9" s="10" customFormat="1" ht="63" x14ac:dyDescent="0.25">
      <c r="A53" s="11"/>
      <c r="B53" s="59" t="s">
        <v>224</v>
      </c>
      <c r="C53" s="59" t="s">
        <v>15</v>
      </c>
      <c r="D53" s="12">
        <v>8131.2</v>
      </c>
      <c r="E53" s="12">
        <v>8131.2</v>
      </c>
      <c r="F53" s="12">
        <v>1450</v>
      </c>
      <c r="G53" s="12">
        <v>1450</v>
      </c>
      <c r="H53" s="13" t="s">
        <v>173</v>
      </c>
      <c r="I53" s="14">
        <f t="shared" si="7"/>
        <v>0.17829999999999999</v>
      </c>
    </row>
    <row r="54" spans="1:9" s="10" customFormat="1" ht="78.75" x14ac:dyDescent="0.25">
      <c r="A54" s="11"/>
      <c r="B54" s="151" t="s">
        <v>228</v>
      </c>
      <c r="C54" s="59" t="s">
        <v>15</v>
      </c>
      <c r="D54" s="12">
        <v>2740.5</v>
      </c>
      <c r="E54" s="12">
        <v>2740.5</v>
      </c>
      <c r="F54" s="12">
        <v>367.5</v>
      </c>
      <c r="G54" s="12">
        <v>367.5</v>
      </c>
      <c r="H54" s="13" t="s">
        <v>173</v>
      </c>
      <c r="I54" s="14">
        <f t="shared" si="7"/>
        <v>0.1341</v>
      </c>
    </row>
    <row r="55" spans="1:9" s="10" customFormat="1" ht="189" x14ac:dyDescent="0.25">
      <c r="A55" s="11"/>
      <c r="B55" s="160" t="s">
        <v>230</v>
      </c>
      <c r="C55" s="59" t="s">
        <v>15</v>
      </c>
      <c r="D55" s="161">
        <v>757.1</v>
      </c>
      <c r="E55" s="161">
        <v>757.1</v>
      </c>
      <c r="F55" s="161">
        <v>130</v>
      </c>
      <c r="G55" s="161">
        <v>130</v>
      </c>
      <c r="H55" s="13" t="s">
        <v>173</v>
      </c>
      <c r="I55" s="14">
        <f t="shared" si="7"/>
        <v>0.17169999999999999</v>
      </c>
    </row>
    <row r="56" spans="1:9" s="10" customFormat="1" ht="94.5" x14ac:dyDescent="0.25">
      <c r="A56" s="148"/>
      <c r="B56" s="46" t="s">
        <v>229</v>
      </c>
      <c r="C56" s="59" t="s">
        <v>15</v>
      </c>
      <c r="D56" s="161">
        <v>904.5</v>
      </c>
      <c r="E56" s="161">
        <v>904.5</v>
      </c>
      <c r="F56" s="161">
        <v>0</v>
      </c>
      <c r="G56" s="161">
        <v>0</v>
      </c>
      <c r="H56" s="13" t="s">
        <v>173</v>
      </c>
      <c r="I56" s="14">
        <f t="shared" si="7"/>
        <v>0</v>
      </c>
    </row>
    <row r="57" spans="1:9" s="10" customFormat="1" ht="31.5" x14ac:dyDescent="0.25">
      <c r="A57" s="149"/>
      <c r="B57" s="108" t="s">
        <v>113</v>
      </c>
      <c r="C57" s="59" t="s">
        <v>101</v>
      </c>
      <c r="D57" s="12">
        <v>26318.2</v>
      </c>
      <c r="E57" s="12">
        <v>26318.2</v>
      </c>
      <c r="F57" s="12">
        <v>5714.31</v>
      </c>
      <c r="G57" s="12">
        <v>5714.31</v>
      </c>
      <c r="H57" s="13" t="s">
        <v>173</v>
      </c>
      <c r="I57" s="14">
        <f t="shared" si="7"/>
        <v>0.21709999999999999</v>
      </c>
    </row>
    <row r="58" spans="1:9" s="10" customFormat="1" ht="31.5" x14ac:dyDescent="0.25">
      <c r="A58" s="150"/>
      <c r="B58" s="109"/>
      <c r="C58" s="59" t="s">
        <v>13</v>
      </c>
      <c r="D58" s="12">
        <v>537.20000000000005</v>
      </c>
      <c r="E58" s="12">
        <v>537.20000000000005</v>
      </c>
      <c r="F58" s="12">
        <v>0</v>
      </c>
      <c r="G58" s="12">
        <v>0</v>
      </c>
      <c r="H58" s="13" t="s">
        <v>173</v>
      </c>
      <c r="I58" s="14">
        <f t="shared" si="7"/>
        <v>0</v>
      </c>
    </row>
    <row r="59" spans="1:9" s="10" customFormat="1" ht="78.75" x14ac:dyDescent="0.25">
      <c r="A59" s="11"/>
      <c r="B59" s="59" t="s">
        <v>231</v>
      </c>
      <c r="C59" s="59" t="s">
        <v>13</v>
      </c>
      <c r="D59" s="12">
        <v>904.5</v>
      </c>
      <c r="E59" s="12">
        <v>904.5</v>
      </c>
      <c r="F59" s="12">
        <v>0</v>
      </c>
      <c r="G59" s="12">
        <v>0</v>
      </c>
      <c r="H59" s="13" t="s">
        <v>173</v>
      </c>
      <c r="I59" s="14">
        <f t="shared" si="7"/>
        <v>0</v>
      </c>
    </row>
    <row r="60" spans="1:9" s="10" customFormat="1" ht="78.75" x14ac:dyDescent="0.25">
      <c r="A60" s="11"/>
      <c r="B60" s="59" t="s">
        <v>225</v>
      </c>
      <c r="C60" s="59" t="s">
        <v>13</v>
      </c>
      <c r="D60" s="12">
        <v>69.599999999999994</v>
      </c>
      <c r="E60" s="12">
        <v>69.599999999999994</v>
      </c>
      <c r="F60" s="12">
        <v>0</v>
      </c>
      <c r="G60" s="12">
        <v>0</v>
      </c>
      <c r="H60" s="13" t="s">
        <v>173</v>
      </c>
      <c r="I60" s="14">
        <f t="shared" si="7"/>
        <v>0</v>
      </c>
    </row>
    <row r="61" spans="1:9" s="10" customFormat="1" ht="63" x14ac:dyDescent="0.25">
      <c r="A61" s="11"/>
      <c r="B61" s="59" t="s">
        <v>226</v>
      </c>
      <c r="C61" s="59" t="s">
        <v>13</v>
      </c>
      <c r="D61" s="12">
        <v>3405.9</v>
      </c>
      <c r="E61" s="12">
        <v>3405.9</v>
      </c>
      <c r="F61" s="12">
        <v>0</v>
      </c>
      <c r="G61" s="12">
        <v>0</v>
      </c>
      <c r="H61" s="13" t="s">
        <v>173</v>
      </c>
      <c r="I61" s="14">
        <f t="shared" si="7"/>
        <v>0</v>
      </c>
    </row>
    <row r="62" spans="1:9" s="10" customFormat="1" ht="94.5" x14ac:dyDescent="0.25">
      <c r="A62" s="11"/>
      <c r="B62" s="59" t="s">
        <v>227</v>
      </c>
      <c r="C62" s="59" t="s">
        <v>193</v>
      </c>
      <c r="D62" s="12">
        <v>2923</v>
      </c>
      <c r="E62" s="12">
        <v>2923</v>
      </c>
      <c r="F62" s="12">
        <v>630</v>
      </c>
      <c r="G62" s="12">
        <v>630</v>
      </c>
      <c r="H62" s="13" t="s">
        <v>173</v>
      </c>
      <c r="I62" s="14">
        <v>0</v>
      </c>
    </row>
    <row r="63" spans="1:9" s="10" customFormat="1" ht="94.5" x14ac:dyDescent="0.25">
      <c r="A63" s="11"/>
      <c r="B63" s="59" t="s">
        <v>192</v>
      </c>
      <c r="C63" s="59" t="s">
        <v>193</v>
      </c>
      <c r="D63" s="12">
        <v>7396.2</v>
      </c>
      <c r="E63" s="12">
        <v>7396.2</v>
      </c>
      <c r="F63" s="12">
        <v>1510</v>
      </c>
      <c r="G63" s="12">
        <v>1510</v>
      </c>
      <c r="H63" s="13" t="s">
        <v>173</v>
      </c>
      <c r="I63" s="14">
        <f t="shared" ref="I63:I70" si="8">ROUND(G63/E63,4)</f>
        <v>0.20419999999999999</v>
      </c>
    </row>
    <row r="64" spans="1:9" s="10" customFormat="1" ht="94.5" x14ac:dyDescent="0.25">
      <c r="A64" s="11"/>
      <c r="B64" s="59" t="s">
        <v>125</v>
      </c>
      <c r="C64" s="59" t="s">
        <v>13</v>
      </c>
      <c r="D64" s="12">
        <v>117.24</v>
      </c>
      <c r="E64" s="12">
        <v>117.24</v>
      </c>
      <c r="F64" s="12">
        <v>100</v>
      </c>
      <c r="G64" s="12">
        <v>90.87</v>
      </c>
      <c r="H64" s="13" t="s">
        <v>173</v>
      </c>
      <c r="I64" s="14">
        <f t="shared" si="8"/>
        <v>0.77510000000000001</v>
      </c>
    </row>
    <row r="65" spans="1:9" s="10" customFormat="1" ht="204.75" x14ac:dyDescent="0.25">
      <c r="A65" s="11"/>
      <c r="B65" s="59" t="s">
        <v>232</v>
      </c>
      <c r="C65" s="59" t="s">
        <v>15</v>
      </c>
      <c r="D65" s="12">
        <v>131.5</v>
      </c>
      <c r="E65" s="12">
        <v>131.5</v>
      </c>
      <c r="F65" s="12">
        <v>22</v>
      </c>
      <c r="G65" s="12">
        <v>22</v>
      </c>
      <c r="H65" s="13" t="s">
        <v>173</v>
      </c>
      <c r="I65" s="14">
        <f t="shared" si="8"/>
        <v>0.1673</v>
      </c>
    </row>
    <row r="66" spans="1:9" s="10" customFormat="1" ht="141.75" x14ac:dyDescent="0.25">
      <c r="A66" s="11"/>
      <c r="B66" s="59" t="s">
        <v>233</v>
      </c>
      <c r="C66" s="59" t="s">
        <v>101</v>
      </c>
      <c r="D66" s="12">
        <v>3372</v>
      </c>
      <c r="E66" s="12">
        <v>3372</v>
      </c>
      <c r="F66" s="12">
        <v>566</v>
      </c>
      <c r="G66" s="12">
        <v>566</v>
      </c>
      <c r="H66" s="13" t="s">
        <v>173</v>
      </c>
      <c r="I66" s="14">
        <f t="shared" si="8"/>
        <v>0.16789999999999999</v>
      </c>
    </row>
    <row r="67" spans="1:9" s="7" customFormat="1" x14ac:dyDescent="0.25">
      <c r="A67" s="84"/>
      <c r="B67" s="78" t="s">
        <v>17</v>
      </c>
      <c r="C67" s="58" t="s">
        <v>16</v>
      </c>
      <c r="D67" s="15">
        <f>D68+D70+D69</f>
        <v>1201266.54</v>
      </c>
      <c r="E67" s="15">
        <f>E68+E70+E69</f>
        <v>1159912.8</v>
      </c>
      <c r="F67" s="15">
        <f>F68+F70+F69</f>
        <v>230756.81</v>
      </c>
      <c r="G67" s="15">
        <f>G68+G70+G69</f>
        <v>230569.22</v>
      </c>
      <c r="H67" s="16" t="s">
        <v>173</v>
      </c>
      <c r="I67" s="17">
        <f t="shared" si="8"/>
        <v>0.1988</v>
      </c>
    </row>
    <row r="68" spans="1:9" s="7" customFormat="1" ht="31.5" x14ac:dyDescent="0.25">
      <c r="A68" s="84"/>
      <c r="B68" s="79"/>
      <c r="C68" s="59" t="s">
        <v>13</v>
      </c>
      <c r="D68" s="12">
        <f>D45+D46+D50+D51+D58+D60+D64+D61+D59</f>
        <v>225406.94</v>
      </c>
      <c r="E68" s="12">
        <f t="shared" ref="E68:G68" si="9">E45+E46+E50+E51+E58+E60+E64+E61+E59</f>
        <v>184053.19999999998</v>
      </c>
      <c r="F68" s="12">
        <f t="shared" si="9"/>
        <v>62004.999999999993</v>
      </c>
      <c r="G68" s="12">
        <f t="shared" si="9"/>
        <v>61817.409999999996</v>
      </c>
      <c r="H68" s="13" t="s">
        <v>173</v>
      </c>
      <c r="I68" s="14">
        <f t="shared" si="8"/>
        <v>0.33589999999999998</v>
      </c>
    </row>
    <row r="69" spans="1:9" s="7" customFormat="1" ht="31.5" x14ac:dyDescent="0.25">
      <c r="A69" s="84"/>
      <c r="B69" s="79"/>
      <c r="C69" s="59" t="s">
        <v>101</v>
      </c>
      <c r="D69" s="12">
        <f>D63+D62+D57+D52+D66</f>
        <v>114976.20000000001</v>
      </c>
      <c r="E69" s="12">
        <f t="shared" ref="E69:G69" si="10">E63+E62+E57+E52+E66</f>
        <v>114976.20000000001</v>
      </c>
      <c r="F69" s="12">
        <f t="shared" si="10"/>
        <v>20812.310000000001</v>
      </c>
      <c r="G69" s="12">
        <f t="shared" si="10"/>
        <v>20812.310000000001</v>
      </c>
      <c r="H69" s="13" t="s">
        <v>173</v>
      </c>
      <c r="I69" s="14">
        <f t="shared" si="8"/>
        <v>0.18099999999999999</v>
      </c>
    </row>
    <row r="70" spans="1:9" s="7" customFormat="1" ht="47.25" x14ac:dyDescent="0.25">
      <c r="A70" s="84"/>
      <c r="B70" s="79"/>
      <c r="C70" s="59" t="s">
        <v>15</v>
      </c>
      <c r="D70" s="12">
        <f>D56+D55+D54+D53+D49+D48+D47+D65</f>
        <v>860883.4</v>
      </c>
      <c r="E70" s="12">
        <f t="shared" ref="E70:G70" si="11">E56+E55+E54+E53+E49+E48+E47+E65</f>
        <v>860883.4</v>
      </c>
      <c r="F70" s="12">
        <f t="shared" si="11"/>
        <v>147939.5</v>
      </c>
      <c r="G70" s="12">
        <f t="shared" si="11"/>
        <v>147939.5</v>
      </c>
      <c r="H70" s="13" t="s">
        <v>173</v>
      </c>
      <c r="I70" s="14">
        <f t="shared" si="8"/>
        <v>0.17180000000000001</v>
      </c>
    </row>
    <row r="71" spans="1:9" s="2" customFormat="1" x14ac:dyDescent="0.25">
      <c r="A71" s="26"/>
      <c r="B71" s="75" t="s">
        <v>197</v>
      </c>
      <c r="C71" s="76"/>
      <c r="D71" s="76"/>
      <c r="E71" s="76"/>
      <c r="F71" s="76"/>
      <c r="G71" s="76"/>
      <c r="H71" s="76"/>
      <c r="I71" s="77"/>
    </row>
    <row r="72" spans="1:9" s="7" customFormat="1" ht="78.75" x14ac:dyDescent="0.25">
      <c r="A72" s="64"/>
      <c r="B72" s="59" t="s">
        <v>35</v>
      </c>
      <c r="C72" s="59" t="s">
        <v>13</v>
      </c>
      <c r="D72" s="12">
        <v>218389.3</v>
      </c>
      <c r="E72" s="12">
        <v>211806.87</v>
      </c>
      <c r="F72" s="12">
        <v>57847.44</v>
      </c>
      <c r="G72" s="12">
        <v>57697.440000000002</v>
      </c>
      <c r="H72" s="13" t="s">
        <v>173</v>
      </c>
      <c r="I72" s="14">
        <f>ROUND(G72/E72,4)</f>
        <v>0.27239999999999998</v>
      </c>
    </row>
    <row r="73" spans="1:9" s="7" customFormat="1" ht="78.75" x14ac:dyDescent="0.25">
      <c r="A73" s="64"/>
      <c r="B73" s="59" t="s">
        <v>25</v>
      </c>
      <c r="C73" s="59" t="s">
        <v>13</v>
      </c>
      <c r="D73" s="12">
        <v>1850</v>
      </c>
      <c r="E73" s="12">
        <v>925</v>
      </c>
      <c r="F73" s="12">
        <v>46.26</v>
      </c>
      <c r="G73" s="12">
        <v>46.26</v>
      </c>
      <c r="H73" s="13" t="s">
        <v>173</v>
      </c>
      <c r="I73" s="14">
        <f>ROUND(G73/E73,4)</f>
        <v>0.05</v>
      </c>
    </row>
    <row r="74" spans="1:9" s="7" customFormat="1" ht="31.5" x14ac:dyDescent="0.25">
      <c r="A74" s="64"/>
      <c r="B74" s="59" t="s">
        <v>50</v>
      </c>
      <c r="C74" s="59" t="s">
        <v>13</v>
      </c>
      <c r="D74" s="12">
        <v>661.38</v>
      </c>
      <c r="E74" s="12">
        <v>394.23</v>
      </c>
      <c r="F74" s="12">
        <v>187.83</v>
      </c>
      <c r="G74" s="12">
        <v>187.83</v>
      </c>
      <c r="H74" s="13" t="s">
        <v>173</v>
      </c>
      <c r="I74" s="14">
        <f>ROUND(G74/E74,4)</f>
        <v>0.47639999999999999</v>
      </c>
    </row>
    <row r="75" spans="1:9" s="7" customFormat="1" ht="63" x14ac:dyDescent="0.25">
      <c r="A75" s="64"/>
      <c r="B75" s="59" t="s">
        <v>234</v>
      </c>
      <c r="C75" s="59" t="s">
        <v>15</v>
      </c>
      <c r="D75" s="12">
        <v>57923.42</v>
      </c>
      <c r="E75" s="12">
        <v>57923.42</v>
      </c>
      <c r="F75" s="12">
        <v>57923.42</v>
      </c>
      <c r="G75" s="12">
        <v>57923.42</v>
      </c>
      <c r="H75" s="13" t="s">
        <v>173</v>
      </c>
      <c r="I75" s="14">
        <f>ROUND(G75/E75,4)</f>
        <v>1</v>
      </c>
    </row>
    <row r="76" spans="1:9" s="7" customFormat="1" ht="78.75" x14ac:dyDescent="0.25">
      <c r="A76" s="64"/>
      <c r="B76" s="59" t="s">
        <v>235</v>
      </c>
      <c r="C76" s="59" t="s">
        <v>13</v>
      </c>
      <c r="D76" s="12">
        <v>796.05</v>
      </c>
      <c r="E76" s="12">
        <v>796.05</v>
      </c>
      <c r="F76" s="12">
        <v>588.66999999999996</v>
      </c>
      <c r="G76" s="12">
        <v>588.66999999999996</v>
      </c>
      <c r="H76" s="13" t="s">
        <v>173</v>
      </c>
      <c r="I76" s="14">
        <f>ROUND(G76/E76,4)</f>
        <v>0.73950000000000005</v>
      </c>
    </row>
    <row r="77" spans="1:9" s="7" customFormat="1" ht="110.25" x14ac:dyDescent="0.25">
      <c r="A77" s="64"/>
      <c r="B77" s="59" t="s">
        <v>167</v>
      </c>
      <c r="C77" s="59" t="s">
        <v>13</v>
      </c>
      <c r="D77" s="12">
        <v>4243.2</v>
      </c>
      <c r="E77" s="12">
        <v>4243.2</v>
      </c>
      <c r="F77" s="12">
        <v>564.51</v>
      </c>
      <c r="G77" s="12">
        <v>564.51</v>
      </c>
      <c r="H77" s="13" t="s">
        <v>173</v>
      </c>
      <c r="I77" s="14">
        <f t="shared" ref="I77:I81" si="12">ROUND(G77/E77,4)</f>
        <v>0.13300000000000001</v>
      </c>
    </row>
    <row r="78" spans="1:9" s="7" customFormat="1" ht="110.25" x14ac:dyDescent="0.25">
      <c r="A78" s="64"/>
      <c r="B78" s="59" t="s">
        <v>168</v>
      </c>
      <c r="C78" s="59" t="s">
        <v>13</v>
      </c>
      <c r="D78" s="12">
        <v>2930</v>
      </c>
      <c r="E78" s="12">
        <v>1743.3</v>
      </c>
      <c r="F78" s="12">
        <v>614.65</v>
      </c>
      <c r="G78" s="12">
        <v>614.65</v>
      </c>
      <c r="H78" s="13" t="s">
        <v>173</v>
      </c>
      <c r="I78" s="14">
        <f t="shared" si="12"/>
        <v>0.35260000000000002</v>
      </c>
    </row>
    <row r="79" spans="1:9" s="7" customFormat="1" x14ac:dyDescent="0.25">
      <c r="A79" s="84"/>
      <c r="B79" s="78" t="s">
        <v>17</v>
      </c>
      <c r="C79" s="58" t="s">
        <v>16</v>
      </c>
      <c r="D79" s="15">
        <f>D80+D81</f>
        <v>286793.34999999998</v>
      </c>
      <c r="E79" s="15">
        <f>E80+E81</f>
        <v>277832.07</v>
      </c>
      <c r="F79" s="15">
        <f>F80+F81</f>
        <v>117772.78</v>
      </c>
      <c r="G79" s="15">
        <f>G80+G81</f>
        <v>117622.78</v>
      </c>
      <c r="H79" s="13" t="s">
        <v>173</v>
      </c>
      <c r="I79" s="14">
        <f t="shared" si="12"/>
        <v>0.4234</v>
      </c>
    </row>
    <row r="80" spans="1:9" s="7" customFormat="1" ht="31.5" x14ac:dyDescent="0.25">
      <c r="A80" s="84"/>
      <c r="B80" s="79"/>
      <c r="C80" s="59" t="s">
        <v>13</v>
      </c>
      <c r="D80" s="12">
        <f>D72+D73+D74+D76+D77+D78</f>
        <v>228869.93</v>
      </c>
      <c r="E80" s="12">
        <f t="shared" ref="E80:G80" si="13">E72+E73+E74+E76+E77+E78</f>
        <v>219908.65</v>
      </c>
      <c r="F80" s="12">
        <f t="shared" si="13"/>
        <v>59849.360000000008</v>
      </c>
      <c r="G80" s="12">
        <f t="shared" si="13"/>
        <v>59699.360000000008</v>
      </c>
      <c r="H80" s="13" t="s">
        <v>173</v>
      </c>
      <c r="I80" s="14">
        <f t="shared" si="12"/>
        <v>0.27150000000000002</v>
      </c>
    </row>
    <row r="81" spans="1:9" s="7" customFormat="1" ht="47.25" x14ac:dyDescent="0.25">
      <c r="A81" s="84"/>
      <c r="B81" s="79"/>
      <c r="C81" s="59" t="s">
        <v>15</v>
      </c>
      <c r="D81" s="12">
        <f>D75</f>
        <v>57923.42</v>
      </c>
      <c r="E81" s="12">
        <f t="shared" ref="E81:G81" si="14">E75</f>
        <v>57923.42</v>
      </c>
      <c r="F81" s="12">
        <f t="shared" si="14"/>
        <v>57923.42</v>
      </c>
      <c r="G81" s="12">
        <f t="shared" si="14"/>
        <v>57923.42</v>
      </c>
      <c r="H81" s="13" t="s">
        <v>173</v>
      </c>
      <c r="I81" s="14">
        <f t="shared" si="12"/>
        <v>1</v>
      </c>
    </row>
    <row r="82" spans="1:9" s="2" customFormat="1" x14ac:dyDescent="0.25">
      <c r="A82" s="26"/>
      <c r="B82" s="75" t="s">
        <v>198</v>
      </c>
      <c r="C82" s="76"/>
      <c r="D82" s="76"/>
      <c r="E82" s="76"/>
      <c r="F82" s="76"/>
      <c r="G82" s="76"/>
      <c r="H82" s="76"/>
      <c r="I82" s="77"/>
    </row>
    <row r="83" spans="1:9" s="7" customFormat="1" ht="78.75" x14ac:dyDescent="0.25">
      <c r="A83" s="64"/>
      <c r="B83" s="59" t="s">
        <v>26</v>
      </c>
      <c r="C83" s="59" t="s">
        <v>13</v>
      </c>
      <c r="D83" s="12">
        <v>7940.4</v>
      </c>
      <c r="E83" s="12">
        <v>7765.4</v>
      </c>
      <c r="F83" s="12">
        <v>1510.19</v>
      </c>
      <c r="G83" s="12">
        <v>1510.19</v>
      </c>
      <c r="H83" s="13" t="s">
        <v>173</v>
      </c>
      <c r="I83" s="14">
        <f t="shared" ref="I83:I90" si="15">ROUND(G83/E83,4)</f>
        <v>0.19450000000000001</v>
      </c>
    </row>
    <row r="84" spans="1:9" s="7" customFormat="1" ht="78.75" x14ac:dyDescent="0.25">
      <c r="A84" s="64"/>
      <c r="B84" s="59" t="s">
        <v>25</v>
      </c>
      <c r="C84" s="59" t="s">
        <v>13</v>
      </c>
      <c r="D84" s="12">
        <v>100</v>
      </c>
      <c r="E84" s="12">
        <v>50</v>
      </c>
      <c r="F84" s="12">
        <v>0</v>
      </c>
      <c r="G84" s="12">
        <v>0</v>
      </c>
      <c r="H84" s="13" t="s">
        <v>173</v>
      </c>
      <c r="I84" s="14">
        <f t="shared" si="15"/>
        <v>0</v>
      </c>
    </row>
    <row r="85" spans="1:9" s="7" customFormat="1" x14ac:dyDescent="0.25">
      <c r="A85" s="84"/>
      <c r="B85" s="78" t="s">
        <v>17</v>
      </c>
      <c r="C85" s="58" t="s">
        <v>16</v>
      </c>
      <c r="D85" s="15">
        <f>D86</f>
        <v>8040.4</v>
      </c>
      <c r="E85" s="15">
        <f>E86</f>
        <v>7815.4</v>
      </c>
      <c r="F85" s="15">
        <f>F86</f>
        <v>1510.19</v>
      </c>
      <c r="G85" s="15">
        <f>G86</f>
        <v>1510.19</v>
      </c>
      <c r="H85" s="13" t="s">
        <v>173</v>
      </c>
      <c r="I85" s="14">
        <f t="shared" si="15"/>
        <v>0.19320000000000001</v>
      </c>
    </row>
    <row r="86" spans="1:9" s="7" customFormat="1" ht="31.5" x14ac:dyDescent="0.25">
      <c r="A86" s="84"/>
      <c r="B86" s="79"/>
      <c r="C86" s="59" t="s">
        <v>13</v>
      </c>
      <c r="D86" s="12">
        <f>D83+D84</f>
        <v>8040.4</v>
      </c>
      <c r="E86" s="12">
        <f>E83+E84</f>
        <v>7815.4</v>
      </c>
      <c r="F86" s="12">
        <f>F83+F84</f>
        <v>1510.19</v>
      </c>
      <c r="G86" s="12">
        <f>G83+G84</f>
        <v>1510.19</v>
      </c>
      <c r="H86" s="13" t="s">
        <v>173</v>
      </c>
      <c r="I86" s="14">
        <f t="shared" si="15"/>
        <v>0.19320000000000001</v>
      </c>
    </row>
    <row r="87" spans="1:9" s="7" customFormat="1" x14ac:dyDescent="0.25">
      <c r="A87" s="85"/>
      <c r="B87" s="81" t="s">
        <v>14</v>
      </c>
      <c r="C87" s="58" t="s">
        <v>16</v>
      </c>
      <c r="D87" s="15">
        <f>D88+D89+D90</f>
        <v>2832274.8299999996</v>
      </c>
      <c r="E87" s="15">
        <f>E88+E89+E90</f>
        <v>2721779.47</v>
      </c>
      <c r="F87" s="15">
        <f>F88+F89+F90</f>
        <v>555419.28</v>
      </c>
      <c r="G87" s="15">
        <f>G88+G89+G90</f>
        <v>554806.91000000015</v>
      </c>
      <c r="H87" s="13" t="s">
        <v>173</v>
      </c>
      <c r="I87" s="14">
        <f t="shared" si="15"/>
        <v>0.20380000000000001</v>
      </c>
    </row>
    <row r="88" spans="1:9" s="7" customFormat="1" ht="31.5" x14ac:dyDescent="0.25">
      <c r="A88" s="86"/>
      <c r="B88" s="87"/>
      <c r="C88" s="59" t="s">
        <v>13</v>
      </c>
      <c r="D88" s="12">
        <f>D26+D32+D42+D68+D80+D86</f>
        <v>1138551.8499999999</v>
      </c>
      <c r="E88" s="12">
        <f>E26+E32+E42+E68+E80+E86</f>
        <v>1028056.49</v>
      </c>
      <c r="F88" s="12">
        <f>F26+F32+F42+F68+F80+F86+0.1</f>
        <v>235839.39</v>
      </c>
      <c r="G88" s="12">
        <f>G26+G32+G42+G68+G80+G86+0.1</f>
        <v>235227.02000000002</v>
      </c>
      <c r="H88" s="13" t="s">
        <v>173</v>
      </c>
      <c r="I88" s="14">
        <f t="shared" si="15"/>
        <v>0.2288</v>
      </c>
    </row>
    <row r="89" spans="1:9" s="7" customFormat="1" ht="47.25" x14ac:dyDescent="0.25">
      <c r="A89" s="86"/>
      <c r="B89" s="87"/>
      <c r="C89" s="59" t="s">
        <v>15</v>
      </c>
      <c r="D89" s="12">
        <f>D25+D33+D43+D70+D81</f>
        <v>1471236.38</v>
      </c>
      <c r="E89" s="12">
        <f>E25+E33+E43+E70+E81</f>
        <v>1471236.38</v>
      </c>
      <c r="F89" s="12">
        <f>F25+F33+F43+F70+F81</f>
        <v>298767.58</v>
      </c>
      <c r="G89" s="12">
        <f>G25+G33+G43+G70+G81</f>
        <v>298767.58</v>
      </c>
      <c r="H89" s="13" t="s">
        <v>173</v>
      </c>
      <c r="I89" s="14">
        <f t="shared" si="15"/>
        <v>0.2031</v>
      </c>
    </row>
    <row r="90" spans="1:9" s="7" customFormat="1" ht="31.5" x14ac:dyDescent="0.25">
      <c r="A90" s="83"/>
      <c r="B90" s="83"/>
      <c r="C90" s="59" t="s">
        <v>101</v>
      </c>
      <c r="D90" s="12">
        <f>D24+D69</f>
        <v>222486.60000000003</v>
      </c>
      <c r="E90" s="12">
        <f>E24+E69</f>
        <v>222486.60000000003</v>
      </c>
      <c r="F90" s="12">
        <f>F24+F69</f>
        <v>20812.310000000001</v>
      </c>
      <c r="G90" s="12">
        <f>G24+G69</f>
        <v>20812.310000000001</v>
      </c>
      <c r="H90" s="13" t="s">
        <v>173</v>
      </c>
      <c r="I90" s="14">
        <f t="shared" si="15"/>
        <v>9.35E-2</v>
      </c>
    </row>
    <row r="91" spans="1:9" s="2" customFormat="1" ht="15.75" customHeight="1" x14ac:dyDescent="0.25">
      <c r="A91" s="58">
        <v>2</v>
      </c>
      <c r="B91" s="75" t="s">
        <v>127</v>
      </c>
      <c r="C91" s="76"/>
      <c r="D91" s="76"/>
      <c r="E91" s="76"/>
      <c r="F91" s="76"/>
      <c r="G91" s="76"/>
      <c r="H91" s="76"/>
      <c r="I91" s="77"/>
    </row>
    <row r="92" spans="1:9" ht="31.5" customHeight="1" x14ac:dyDescent="0.25">
      <c r="A92" s="11"/>
      <c r="B92" s="59" t="s">
        <v>55</v>
      </c>
      <c r="C92" s="59" t="s">
        <v>13</v>
      </c>
      <c r="D92" s="12">
        <v>18</v>
      </c>
      <c r="E92" s="12">
        <v>9</v>
      </c>
      <c r="F92" s="12">
        <v>0</v>
      </c>
      <c r="G92" s="12">
        <v>0</v>
      </c>
      <c r="H92" s="13" t="s">
        <v>173</v>
      </c>
      <c r="I92" s="14">
        <f t="shared" ref="I92:I97" si="16">ROUND(G92/E92,4)</f>
        <v>0</v>
      </c>
    </row>
    <row r="93" spans="1:9" ht="94.5" x14ac:dyDescent="0.25">
      <c r="A93" s="11"/>
      <c r="B93" s="59" t="s">
        <v>238</v>
      </c>
      <c r="C93" s="59" t="s">
        <v>15</v>
      </c>
      <c r="D93" s="12">
        <v>7728.38</v>
      </c>
      <c r="E93" s="12">
        <v>7728.38</v>
      </c>
      <c r="F93" s="12">
        <v>0</v>
      </c>
      <c r="G93" s="12">
        <v>0</v>
      </c>
      <c r="H93" s="13" t="s">
        <v>173</v>
      </c>
      <c r="I93" s="14">
        <f t="shared" si="16"/>
        <v>0</v>
      </c>
    </row>
    <row r="94" spans="1:9" ht="276" customHeight="1" x14ac:dyDescent="0.25">
      <c r="A94" s="11"/>
      <c r="B94" s="59" t="s">
        <v>236</v>
      </c>
      <c r="C94" s="59" t="s">
        <v>15</v>
      </c>
      <c r="D94" s="12">
        <v>3645.3</v>
      </c>
      <c r="E94" s="12">
        <v>3645.3</v>
      </c>
      <c r="F94" s="12">
        <v>0</v>
      </c>
      <c r="G94" s="12">
        <v>0</v>
      </c>
      <c r="H94" s="13" t="s">
        <v>173</v>
      </c>
      <c r="I94" s="14">
        <f t="shared" si="16"/>
        <v>0</v>
      </c>
    </row>
    <row r="95" spans="1:9" ht="63" x14ac:dyDescent="0.25">
      <c r="A95" s="11"/>
      <c r="B95" s="59" t="s">
        <v>237</v>
      </c>
      <c r="C95" s="59" t="s">
        <v>101</v>
      </c>
      <c r="D95" s="12">
        <v>15187.6</v>
      </c>
      <c r="E95" s="12">
        <v>15187.6</v>
      </c>
      <c r="F95" s="12">
        <v>6953.96</v>
      </c>
      <c r="G95" s="12">
        <v>6953.96</v>
      </c>
      <c r="H95" s="13" t="s">
        <v>173</v>
      </c>
      <c r="I95" s="14">
        <f t="shared" si="16"/>
        <v>0.45789999999999997</v>
      </c>
    </row>
    <row r="96" spans="1:9" ht="63" x14ac:dyDescent="0.25">
      <c r="A96" s="11"/>
      <c r="B96" s="59" t="s">
        <v>65</v>
      </c>
      <c r="C96" s="59" t="s">
        <v>15</v>
      </c>
      <c r="D96" s="12">
        <v>72328.899999999994</v>
      </c>
      <c r="E96" s="12">
        <v>26188</v>
      </c>
      <c r="F96" s="12">
        <v>16100</v>
      </c>
      <c r="G96" s="12">
        <v>15554.28</v>
      </c>
      <c r="H96" s="13" t="s">
        <v>173</v>
      </c>
      <c r="I96" s="14">
        <f t="shared" si="16"/>
        <v>0.59389999999999998</v>
      </c>
    </row>
    <row r="97" spans="1:9" ht="110.25" x14ac:dyDescent="0.25">
      <c r="A97" s="11"/>
      <c r="B97" s="59" t="s">
        <v>208</v>
      </c>
      <c r="C97" s="59" t="s">
        <v>15</v>
      </c>
      <c r="D97" s="12">
        <v>2098.6</v>
      </c>
      <c r="E97" s="12">
        <v>2098.6</v>
      </c>
      <c r="F97" s="12">
        <v>325</v>
      </c>
      <c r="G97" s="12">
        <v>286.91000000000003</v>
      </c>
      <c r="H97" s="13" t="s">
        <v>173</v>
      </c>
      <c r="I97" s="14">
        <f t="shared" si="16"/>
        <v>0.13669999999999999</v>
      </c>
    </row>
    <row r="98" spans="1:9" ht="15.75" customHeight="1" x14ac:dyDescent="0.25">
      <c r="A98" s="84"/>
      <c r="B98" s="78" t="s">
        <v>14</v>
      </c>
      <c r="C98" s="58" t="s">
        <v>16</v>
      </c>
      <c r="D98" s="15">
        <f>D100+D101+D99</f>
        <v>101006.78000000001</v>
      </c>
      <c r="E98" s="15">
        <f>E100+E101+E99</f>
        <v>54856.88</v>
      </c>
      <c r="F98" s="15">
        <f>F100+F101+F99</f>
        <v>23378.959999999999</v>
      </c>
      <c r="G98" s="15">
        <f>G100+G101+G99</f>
        <v>22795.15</v>
      </c>
      <c r="H98" s="13" t="s">
        <v>173</v>
      </c>
      <c r="I98" s="14">
        <f>ROUND(G98/E98,4)</f>
        <v>0.41549999999999998</v>
      </c>
    </row>
    <row r="99" spans="1:9" ht="31.5" customHeight="1" x14ac:dyDescent="0.25">
      <c r="A99" s="84"/>
      <c r="B99" s="78"/>
      <c r="C99" s="59" t="s">
        <v>101</v>
      </c>
      <c r="D99" s="12">
        <f>D95</f>
        <v>15187.6</v>
      </c>
      <c r="E99" s="12">
        <f>E95</f>
        <v>15187.6</v>
      </c>
      <c r="F99" s="12">
        <f>F95</f>
        <v>6953.96</v>
      </c>
      <c r="G99" s="12">
        <f>G95</f>
        <v>6953.96</v>
      </c>
      <c r="H99" s="13" t="s">
        <v>173</v>
      </c>
      <c r="I99" s="14">
        <f>ROUND(G99/E99,4)</f>
        <v>0.45789999999999997</v>
      </c>
    </row>
    <row r="100" spans="1:9" ht="31.5" customHeight="1" x14ac:dyDescent="0.25">
      <c r="A100" s="84"/>
      <c r="B100" s="79"/>
      <c r="C100" s="59" t="s">
        <v>13</v>
      </c>
      <c r="D100" s="12">
        <f>D92</f>
        <v>18</v>
      </c>
      <c r="E100" s="12">
        <f>E92</f>
        <v>9</v>
      </c>
      <c r="F100" s="12">
        <f>F92</f>
        <v>0</v>
      </c>
      <c r="G100" s="12">
        <f>G92</f>
        <v>0</v>
      </c>
      <c r="H100" s="13" t="s">
        <v>173</v>
      </c>
      <c r="I100" s="14">
        <f>ROUND(G100/E100,4)</f>
        <v>0</v>
      </c>
    </row>
    <row r="101" spans="1:9" ht="47.25" x14ac:dyDescent="0.25">
      <c r="A101" s="84"/>
      <c r="B101" s="79"/>
      <c r="C101" s="59" t="s">
        <v>15</v>
      </c>
      <c r="D101" s="12">
        <f>D93+D96+D97+D94</f>
        <v>85801.180000000008</v>
      </c>
      <c r="E101" s="12">
        <f>E93+E96+E97+E94</f>
        <v>39660.28</v>
      </c>
      <c r="F101" s="12">
        <f>F93+F96+F97+F94</f>
        <v>16425</v>
      </c>
      <c r="G101" s="12">
        <f>G93+G96+G97+G94</f>
        <v>15841.19</v>
      </c>
      <c r="H101" s="13" t="s">
        <v>173</v>
      </c>
      <c r="I101" s="14">
        <f>ROUND(G101/E101,4)</f>
        <v>0.39939999999999998</v>
      </c>
    </row>
    <row r="102" spans="1:9" x14ac:dyDescent="0.25">
      <c r="A102" s="58">
        <v>3</v>
      </c>
      <c r="B102" s="75" t="s">
        <v>128</v>
      </c>
      <c r="C102" s="76"/>
      <c r="D102" s="76"/>
      <c r="E102" s="76"/>
      <c r="F102" s="76"/>
      <c r="G102" s="76"/>
      <c r="H102" s="76"/>
      <c r="I102" s="77"/>
    </row>
    <row r="103" spans="1:9" ht="63" x14ac:dyDescent="0.25">
      <c r="A103" s="58"/>
      <c r="B103" s="59" t="s">
        <v>92</v>
      </c>
      <c r="C103" s="59" t="s">
        <v>13</v>
      </c>
      <c r="D103" s="12">
        <v>306</v>
      </c>
      <c r="E103" s="12">
        <v>306</v>
      </c>
      <c r="F103" s="12">
        <v>76.489999999999995</v>
      </c>
      <c r="G103" s="12">
        <v>76.5</v>
      </c>
      <c r="H103" s="13" t="s">
        <v>173</v>
      </c>
      <c r="I103" s="14">
        <f t="shared" ref="I103:I115" si="17">ROUND(G103/E103,4)</f>
        <v>0.25</v>
      </c>
    </row>
    <row r="104" spans="1:9" ht="252" x14ac:dyDescent="0.25">
      <c r="A104" s="6"/>
      <c r="B104" s="59" t="s">
        <v>202</v>
      </c>
      <c r="C104" s="59" t="s">
        <v>15</v>
      </c>
      <c r="D104" s="12">
        <v>38112</v>
      </c>
      <c r="E104" s="12">
        <v>38112</v>
      </c>
      <c r="F104" s="12">
        <v>10100</v>
      </c>
      <c r="G104" s="12">
        <v>10100</v>
      </c>
      <c r="H104" s="13" t="s">
        <v>173</v>
      </c>
      <c r="I104" s="14">
        <f t="shared" si="17"/>
        <v>0.26500000000000001</v>
      </c>
    </row>
    <row r="105" spans="1:9" ht="94.5" x14ac:dyDescent="0.25">
      <c r="A105" s="6"/>
      <c r="B105" s="59" t="s">
        <v>203</v>
      </c>
      <c r="C105" s="59" t="s">
        <v>15</v>
      </c>
      <c r="D105" s="12">
        <v>3123.5</v>
      </c>
      <c r="E105" s="12">
        <v>3123.5</v>
      </c>
      <c r="F105" s="12">
        <v>850</v>
      </c>
      <c r="G105" s="12">
        <v>850</v>
      </c>
      <c r="H105" s="13" t="s">
        <v>173</v>
      </c>
      <c r="I105" s="14">
        <f t="shared" si="17"/>
        <v>0.27210000000000001</v>
      </c>
    </row>
    <row r="106" spans="1:9" ht="157.5" x14ac:dyDescent="0.25">
      <c r="A106" s="6"/>
      <c r="B106" s="59" t="s">
        <v>200</v>
      </c>
      <c r="C106" s="59" t="s">
        <v>15</v>
      </c>
      <c r="D106" s="12">
        <v>147.4</v>
      </c>
      <c r="E106" s="12">
        <v>147.4</v>
      </c>
      <c r="F106" s="12">
        <v>42</v>
      </c>
      <c r="G106" s="12">
        <v>42</v>
      </c>
      <c r="H106" s="13" t="s">
        <v>173</v>
      </c>
      <c r="I106" s="14">
        <f t="shared" si="17"/>
        <v>0.28489999999999999</v>
      </c>
    </row>
    <row r="107" spans="1:9" ht="94.5" x14ac:dyDescent="0.25">
      <c r="A107" s="6"/>
      <c r="B107" s="59" t="s">
        <v>79</v>
      </c>
      <c r="C107" s="59" t="s">
        <v>15</v>
      </c>
      <c r="D107" s="12">
        <v>14738.9</v>
      </c>
      <c r="E107" s="12">
        <v>14738.9</v>
      </c>
      <c r="F107" s="12">
        <v>4200</v>
      </c>
      <c r="G107" s="12">
        <v>4200</v>
      </c>
      <c r="H107" s="13" t="s">
        <v>173</v>
      </c>
      <c r="I107" s="14">
        <f t="shared" si="17"/>
        <v>0.28499999999999998</v>
      </c>
    </row>
    <row r="108" spans="1:9" ht="78.75" x14ac:dyDescent="0.25">
      <c r="A108" s="6"/>
      <c r="B108" s="59" t="s">
        <v>27</v>
      </c>
      <c r="C108" s="59" t="s">
        <v>13</v>
      </c>
      <c r="D108" s="12">
        <v>5781</v>
      </c>
      <c r="E108" s="12">
        <v>5781</v>
      </c>
      <c r="F108" s="12">
        <v>1805</v>
      </c>
      <c r="G108" s="12">
        <v>1398.19</v>
      </c>
      <c r="H108" s="13" t="s">
        <v>173</v>
      </c>
      <c r="I108" s="14">
        <f t="shared" si="17"/>
        <v>0.2419</v>
      </c>
    </row>
    <row r="109" spans="1:9" ht="63" x14ac:dyDescent="0.25">
      <c r="A109" s="6"/>
      <c r="B109" s="59" t="s">
        <v>94</v>
      </c>
      <c r="C109" s="59" t="s">
        <v>13</v>
      </c>
      <c r="D109" s="12">
        <v>48</v>
      </c>
      <c r="E109" s="12">
        <v>48</v>
      </c>
      <c r="F109" s="12">
        <v>12</v>
      </c>
      <c r="G109" s="12">
        <v>9</v>
      </c>
      <c r="H109" s="13" t="s">
        <v>173</v>
      </c>
      <c r="I109" s="14">
        <f t="shared" si="17"/>
        <v>0.1875</v>
      </c>
    </row>
    <row r="110" spans="1:9" ht="47.25" x14ac:dyDescent="0.25">
      <c r="A110" s="6"/>
      <c r="B110" s="59" t="s">
        <v>103</v>
      </c>
      <c r="C110" s="59" t="s">
        <v>15</v>
      </c>
      <c r="D110" s="12">
        <v>178.7</v>
      </c>
      <c r="E110" s="12">
        <v>178.7</v>
      </c>
      <c r="F110" s="12">
        <v>19.27</v>
      </c>
      <c r="G110" s="12">
        <v>19.27</v>
      </c>
      <c r="H110" s="13" t="s">
        <v>173</v>
      </c>
      <c r="I110" s="14">
        <f t="shared" si="17"/>
        <v>0.10780000000000001</v>
      </c>
    </row>
    <row r="111" spans="1:9" ht="110.25" x14ac:dyDescent="0.25">
      <c r="A111" s="6"/>
      <c r="B111" s="59" t="s">
        <v>114</v>
      </c>
      <c r="C111" s="59" t="s">
        <v>15</v>
      </c>
      <c r="D111" s="12">
        <v>10608.1</v>
      </c>
      <c r="E111" s="12">
        <v>10608.1</v>
      </c>
      <c r="F111" s="12">
        <v>2418</v>
      </c>
      <c r="G111" s="12">
        <v>1537.78</v>
      </c>
      <c r="H111" s="13" t="s">
        <v>173</v>
      </c>
      <c r="I111" s="14">
        <f t="shared" si="17"/>
        <v>0.14499999999999999</v>
      </c>
    </row>
    <row r="112" spans="1:9" ht="47.25" x14ac:dyDescent="0.25">
      <c r="A112" s="6"/>
      <c r="B112" s="59" t="s">
        <v>239</v>
      </c>
      <c r="C112" s="59" t="s">
        <v>13</v>
      </c>
      <c r="D112" s="12">
        <v>30</v>
      </c>
      <c r="E112" s="12">
        <v>30</v>
      </c>
      <c r="F112" s="12">
        <v>30</v>
      </c>
      <c r="G112" s="12">
        <v>30</v>
      </c>
      <c r="H112" s="13" t="s">
        <v>173</v>
      </c>
      <c r="I112" s="14">
        <f t="shared" si="17"/>
        <v>1</v>
      </c>
    </row>
    <row r="113" spans="1:9" x14ac:dyDescent="0.25">
      <c r="A113" s="84"/>
      <c r="B113" s="78" t="s">
        <v>14</v>
      </c>
      <c r="C113" s="58" t="s">
        <v>16</v>
      </c>
      <c r="D113" s="15">
        <f>D114+D115</f>
        <v>73073.600000000006</v>
      </c>
      <c r="E113" s="15">
        <f>E114+E115</f>
        <v>73073.600000000006</v>
      </c>
      <c r="F113" s="15">
        <f>F114+F115</f>
        <v>19552.760000000002</v>
      </c>
      <c r="G113" s="15">
        <f>G114+G115</f>
        <v>18262.739999999998</v>
      </c>
      <c r="H113" s="16" t="s">
        <v>173</v>
      </c>
      <c r="I113" s="17">
        <f t="shared" si="17"/>
        <v>0.24990000000000001</v>
      </c>
    </row>
    <row r="114" spans="1:9" ht="31.5" x14ac:dyDescent="0.25">
      <c r="A114" s="84"/>
      <c r="B114" s="79"/>
      <c r="C114" s="59" t="s">
        <v>13</v>
      </c>
      <c r="D114" s="12">
        <f>D103+D108+D109+D112</f>
        <v>6165</v>
      </c>
      <c r="E114" s="12">
        <f t="shared" ref="E114:G114" si="18">E103+E108+E109+E112</f>
        <v>6165</v>
      </c>
      <c r="F114" s="12">
        <f t="shared" si="18"/>
        <v>1923.49</v>
      </c>
      <c r="G114" s="12">
        <f t="shared" si="18"/>
        <v>1513.69</v>
      </c>
      <c r="H114" s="13" t="s">
        <v>173</v>
      </c>
      <c r="I114" s="14">
        <f t="shared" si="17"/>
        <v>0.2455</v>
      </c>
    </row>
    <row r="115" spans="1:9" ht="47.25" x14ac:dyDescent="0.25">
      <c r="A115" s="84"/>
      <c r="B115" s="79"/>
      <c r="C115" s="59" t="s">
        <v>15</v>
      </c>
      <c r="D115" s="12">
        <f>D104+D105+D106+D107+D110+D111</f>
        <v>66908.600000000006</v>
      </c>
      <c r="E115" s="12">
        <f t="shared" ref="E115:G115" si="19">E104+E105+E106+E107+E110+E111</f>
        <v>66908.600000000006</v>
      </c>
      <c r="F115" s="12">
        <f t="shared" si="19"/>
        <v>17629.27</v>
      </c>
      <c r="G115" s="12">
        <f t="shared" si="19"/>
        <v>16749.05</v>
      </c>
      <c r="H115" s="13" t="s">
        <v>173</v>
      </c>
      <c r="I115" s="14">
        <f t="shared" si="17"/>
        <v>0.25030000000000002</v>
      </c>
    </row>
    <row r="116" spans="1:9" x14ac:dyDescent="0.25">
      <c r="A116" s="58">
        <v>4</v>
      </c>
      <c r="B116" s="75" t="s">
        <v>153</v>
      </c>
      <c r="C116" s="76"/>
      <c r="D116" s="76"/>
      <c r="E116" s="76"/>
      <c r="F116" s="76"/>
      <c r="G116" s="76"/>
      <c r="H116" s="76"/>
      <c r="I116" s="77"/>
    </row>
    <row r="117" spans="1:9" ht="31.5" x14ac:dyDescent="0.25">
      <c r="A117" s="6"/>
      <c r="B117" s="59" t="s">
        <v>24</v>
      </c>
      <c r="C117" s="59" t="s">
        <v>13</v>
      </c>
      <c r="D117" s="12">
        <f>404.5+1224.3+195</f>
        <v>1823.8</v>
      </c>
      <c r="E117" s="12">
        <f>97.5+962.15+263.75</f>
        <v>1323.4</v>
      </c>
      <c r="F117" s="12">
        <f>34+527.06</f>
        <v>561.05999999999995</v>
      </c>
      <c r="G117" s="12">
        <f>34+527.06</f>
        <v>561.05999999999995</v>
      </c>
      <c r="H117" s="13" t="s">
        <v>173</v>
      </c>
      <c r="I117" s="14">
        <f t="shared" ref="I117:I120" si="20">ROUND(G117/E117,4)</f>
        <v>0.42399999999999999</v>
      </c>
    </row>
    <row r="118" spans="1:9" ht="47.25" x14ac:dyDescent="0.25">
      <c r="A118" s="6"/>
      <c r="B118" s="59" t="s">
        <v>56</v>
      </c>
      <c r="C118" s="59" t="s">
        <v>13</v>
      </c>
      <c r="D118" s="12">
        <v>70</v>
      </c>
      <c r="E118" s="12">
        <v>35</v>
      </c>
      <c r="F118" s="12">
        <v>16</v>
      </c>
      <c r="G118" s="12">
        <v>16</v>
      </c>
      <c r="H118" s="13" t="s">
        <v>173</v>
      </c>
      <c r="I118" s="14">
        <f t="shared" si="20"/>
        <v>0.45710000000000001</v>
      </c>
    </row>
    <row r="119" spans="1:9" x14ac:dyDescent="0.25">
      <c r="A119" s="85"/>
      <c r="B119" s="81" t="s">
        <v>14</v>
      </c>
      <c r="C119" s="58" t="s">
        <v>16</v>
      </c>
      <c r="D119" s="15">
        <f>D120</f>
        <v>1893.8</v>
      </c>
      <c r="E119" s="15">
        <f t="shared" ref="E119:G119" si="21">E120</f>
        <v>1358.4</v>
      </c>
      <c r="F119" s="15">
        <f t="shared" si="21"/>
        <v>577.05999999999995</v>
      </c>
      <c r="G119" s="15">
        <f t="shared" si="21"/>
        <v>577.05999999999995</v>
      </c>
      <c r="H119" s="13" t="s">
        <v>173</v>
      </c>
      <c r="I119" s="14">
        <f t="shared" si="20"/>
        <v>0.42480000000000001</v>
      </c>
    </row>
    <row r="120" spans="1:9" ht="31.5" x14ac:dyDescent="0.25">
      <c r="A120" s="83"/>
      <c r="B120" s="83"/>
      <c r="C120" s="59" t="s">
        <v>13</v>
      </c>
      <c r="D120" s="12">
        <f>D117+D118</f>
        <v>1893.8</v>
      </c>
      <c r="E120" s="12">
        <f>E117+E118</f>
        <v>1358.4</v>
      </c>
      <c r="F120" s="12">
        <f t="shared" ref="F120:G120" si="22">F117+F118</f>
        <v>577.05999999999995</v>
      </c>
      <c r="G120" s="12">
        <f t="shared" si="22"/>
        <v>577.05999999999995</v>
      </c>
      <c r="H120" s="13" t="s">
        <v>173</v>
      </c>
      <c r="I120" s="14">
        <f t="shared" si="20"/>
        <v>0.42480000000000001</v>
      </c>
    </row>
    <row r="121" spans="1:9" x14ac:dyDescent="0.25">
      <c r="A121" s="58">
        <v>5</v>
      </c>
      <c r="B121" s="75" t="s">
        <v>129</v>
      </c>
      <c r="C121" s="76"/>
      <c r="D121" s="76"/>
      <c r="E121" s="76"/>
      <c r="F121" s="76"/>
      <c r="G121" s="76"/>
      <c r="H121" s="76"/>
      <c r="I121" s="77"/>
    </row>
    <row r="122" spans="1:9" x14ac:dyDescent="0.25">
      <c r="A122" s="75" t="s">
        <v>154</v>
      </c>
      <c r="B122" s="76"/>
      <c r="C122" s="76"/>
      <c r="D122" s="76"/>
      <c r="E122" s="76"/>
      <c r="F122" s="76"/>
      <c r="G122" s="76"/>
      <c r="H122" s="76"/>
      <c r="I122" s="77"/>
    </row>
    <row r="123" spans="1:9" ht="78.75" x14ac:dyDescent="0.25">
      <c r="A123" s="6"/>
      <c r="B123" s="59" t="s">
        <v>26</v>
      </c>
      <c r="C123" s="59" t="s">
        <v>13</v>
      </c>
      <c r="D123" s="12">
        <v>137684.5</v>
      </c>
      <c r="E123" s="12">
        <v>134368.85</v>
      </c>
      <c r="F123" s="12">
        <v>31070.54</v>
      </c>
      <c r="G123" s="12">
        <v>31070.54</v>
      </c>
      <c r="H123" s="13" t="s">
        <v>173</v>
      </c>
      <c r="I123" s="14">
        <f t="shared" ref="I123:I129" si="23">ROUND(G123/E123,4)</f>
        <v>0.23119999999999999</v>
      </c>
    </row>
    <row r="124" spans="1:9" ht="78.75" x14ac:dyDescent="0.25">
      <c r="A124" s="6"/>
      <c r="B124" s="59" t="s">
        <v>25</v>
      </c>
      <c r="C124" s="59" t="s">
        <v>13</v>
      </c>
      <c r="D124" s="12">
        <v>1200</v>
      </c>
      <c r="E124" s="12">
        <v>600</v>
      </c>
      <c r="F124" s="12">
        <v>0</v>
      </c>
      <c r="G124" s="12">
        <v>0</v>
      </c>
      <c r="H124" s="13" t="s">
        <v>173</v>
      </c>
      <c r="I124" s="14">
        <f t="shared" si="23"/>
        <v>0</v>
      </c>
    </row>
    <row r="125" spans="1:9" ht="78.75" x14ac:dyDescent="0.25">
      <c r="A125" s="6"/>
      <c r="B125" s="59" t="s">
        <v>63</v>
      </c>
      <c r="C125" s="59" t="s">
        <v>15</v>
      </c>
      <c r="D125" s="12">
        <v>4500</v>
      </c>
      <c r="E125" s="12">
        <v>4500</v>
      </c>
      <c r="F125" s="12">
        <v>1125</v>
      </c>
      <c r="G125" s="12">
        <v>1125</v>
      </c>
      <c r="H125" s="13" t="s">
        <v>173</v>
      </c>
      <c r="I125" s="14">
        <f t="shared" si="23"/>
        <v>0.25</v>
      </c>
    </row>
    <row r="126" spans="1:9" ht="78.75" x14ac:dyDescent="0.25">
      <c r="A126" s="6"/>
      <c r="B126" s="59" t="s">
        <v>66</v>
      </c>
      <c r="C126" s="59" t="s">
        <v>13</v>
      </c>
      <c r="D126" s="12">
        <v>1706.9</v>
      </c>
      <c r="E126" s="12">
        <v>1706.9</v>
      </c>
      <c r="F126" s="12">
        <v>426.72</v>
      </c>
      <c r="G126" s="12">
        <v>426.72</v>
      </c>
      <c r="H126" s="13" t="s">
        <v>173</v>
      </c>
      <c r="I126" s="14">
        <f t="shared" si="23"/>
        <v>0.25</v>
      </c>
    </row>
    <row r="127" spans="1:9" x14ac:dyDescent="0.25">
      <c r="A127" s="85"/>
      <c r="B127" s="81" t="s">
        <v>17</v>
      </c>
      <c r="C127" s="58" t="s">
        <v>16</v>
      </c>
      <c r="D127" s="15">
        <f>D128+D129</f>
        <v>145091.4</v>
      </c>
      <c r="E127" s="15">
        <f>E128+E129</f>
        <v>141175.75</v>
      </c>
      <c r="F127" s="15">
        <f>F128+F129</f>
        <v>32622.260000000002</v>
      </c>
      <c r="G127" s="15">
        <f>G128+G129</f>
        <v>32622.260000000002</v>
      </c>
      <c r="H127" s="13" t="s">
        <v>173</v>
      </c>
      <c r="I127" s="14">
        <f t="shared" si="23"/>
        <v>0.2311</v>
      </c>
    </row>
    <row r="128" spans="1:9" ht="31.5" x14ac:dyDescent="0.25">
      <c r="A128" s="86"/>
      <c r="B128" s="87"/>
      <c r="C128" s="59" t="s">
        <v>13</v>
      </c>
      <c r="D128" s="12">
        <f>D123+D124+D126</f>
        <v>140591.4</v>
      </c>
      <c r="E128" s="12">
        <f>E123+E124+E126</f>
        <v>136675.75</v>
      </c>
      <c r="F128" s="12">
        <f>F123+F124+F126</f>
        <v>31497.260000000002</v>
      </c>
      <c r="G128" s="12">
        <f>G123+G124+G126</f>
        <v>31497.260000000002</v>
      </c>
      <c r="H128" s="13" t="s">
        <v>173</v>
      </c>
      <c r="I128" s="14">
        <f t="shared" si="23"/>
        <v>0.23050000000000001</v>
      </c>
    </row>
    <row r="129" spans="1:9" ht="47.25" x14ac:dyDescent="0.25">
      <c r="A129" s="86"/>
      <c r="B129" s="87"/>
      <c r="C129" s="59" t="s">
        <v>15</v>
      </c>
      <c r="D129" s="12">
        <f>D125</f>
        <v>4500</v>
      </c>
      <c r="E129" s="12">
        <f>E125</f>
        <v>4500</v>
      </c>
      <c r="F129" s="12">
        <f>F125</f>
        <v>1125</v>
      </c>
      <c r="G129" s="12">
        <f>G125</f>
        <v>1125</v>
      </c>
      <c r="H129" s="13" t="s">
        <v>173</v>
      </c>
      <c r="I129" s="14">
        <f t="shared" si="23"/>
        <v>0.25</v>
      </c>
    </row>
    <row r="130" spans="1:9" ht="15.75" customHeight="1" x14ac:dyDescent="0.25">
      <c r="A130" s="75" t="s">
        <v>85</v>
      </c>
      <c r="B130" s="76"/>
      <c r="C130" s="76"/>
      <c r="D130" s="76"/>
      <c r="E130" s="76"/>
      <c r="F130" s="76"/>
      <c r="G130" s="76"/>
      <c r="H130" s="76"/>
      <c r="I130" s="77"/>
    </row>
    <row r="131" spans="1:9" ht="78.75" x14ac:dyDescent="0.25">
      <c r="A131" s="64"/>
      <c r="B131" s="59" t="s">
        <v>26</v>
      </c>
      <c r="C131" s="59" t="s">
        <v>13</v>
      </c>
      <c r="D131" s="12">
        <v>79707.100000000006</v>
      </c>
      <c r="E131" s="12">
        <v>74422.850000000006</v>
      </c>
      <c r="F131" s="12">
        <v>20068</v>
      </c>
      <c r="G131" s="12">
        <v>20068</v>
      </c>
      <c r="H131" s="13" t="s">
        <v>173</v>
      </c>
      <c r="I131" s="14">
        <f t="shared" ref="I131:I138" si="24">ROUND(G131/E131,4)</f>
        <v>0.26960000000000001</v>
      </c>
    </row>
    <row r="132" spans="1:9" ht="78.75" x14ac:dyDescent="0.25">
      <c r="A132" s="64"/>
      <c r="B132" s="59" t="s">
        <v>25</v>
      </c>
      <c r="C132" s="59" t="s">
        <v>13</v>
      </c>
      <c r="D132" s="12">
        <v>555</v>
      </c>
      <c r="E132" s="12">
        <v>277.5</v>
      </c>
      <c r="F132" s="12">
        <v>0</v>
      </c>
      <c r="G132" s="12">
        <v>0</v>
      </c>
      <c r="H132" s="13" t="s">
        <v>173</v>
      </c>
      <c r="I132" s="14">
        <f t="shared" si="24"/>
        <v>0</v>
      </c>
    </row>
    <row r="133" spans="1:9" ht="47.25" x14ac:dyDescent="0.25">
      <c r="A133" s="64"/>
      <c r="B133" s="59" t="s">
        <v>240</v>
      </c>
      <c r="C133" s="59" t="s">
        <v>13</v>
      </c>
      <c r="D133" s="12">
        <v>1300</v>
      </c>
      <c r="E133" s="12">
        <v>1300</v>
      </c>
      <c r="F133" s="12">
        <v>650</v>
      </c>
      <c r="G133" s="12">
        <v>650</v>
      </c>
      <c r="H133" s="13" t="s">
        <v>173</v>
      </c>
      <c r="I133" s="14">
        <f t="shared" si="24"/>
        <v>0.5</v>
      </c>
    </row>
    <row r="134" spans="1:9" ht="47.25" x14ac:dyDescent="0.25">
      <c r="A134" s="62"/>
      <c r="B134" s="60" t="s">
        <v>130</v>
      </c>
      <c r="C134" s="59" t="s">
        <v>13</v>
      </c>
      <c r="D134" s="12">
        <v>3007.5</v>
      </c>
      <c r="E134" s="12">
        <v>1503.75</v>
      </c>
      <c r="F134" s="12">
        <v>0</v>
      </c>
      <c r="G134" s="12">
        <v>0</v>
      </c>
      <c r="H134" s="13" t="s">
        <v>173</v>
      </c>
      <c r="I134" s="14">
        <f t="shared" si="24"/>
        <v>0</v>
      </c>
    </row>
    <row r="135" spans="1:9" ht="78.75" x14ac:dyDescent="0.25">
      <c r="A135" s="62"/>
      <c r="B135" s="60" t="s">
        <v>26</v>
      </c>
      <c r="C135" s="59" t="s">
        <v>13</v>
      </c>
      <c r="D135" s="18">
        <v>70926</v>
      </c>
      <c r="E135" s="18">
        <v>64189.9</v>
      </c>
      <c r="F135" s="18">
        <v>16977.5</v>
      </c>
      <c r="G135" s="18">
        <v>16977.5</v>
      </c>
      <c r="H135" s="13" t="s">
        <v>173</v>
      </c>
      <c r="I135" s="14">
        <f t="shared" si="24"/>
        <v>0.26450000000000001</v>
      </c>
    </row>
    <row r="136" spans="1:9" ht="78.75" x14ac:dyDescent="0.25">
      <c r="A136" s="62"/>
      <c r="B136" s="60" t="s">
        <v>25</v>
      </c>
      <c r="C136" s="59" t="s">
        <v>13</v>
      </c>
      <c r="D136" s="18">
        <v>500</v>
      </c>
      <c r="E136" s="18">
        <v>250</v>
      </c>
      <c r="F136" s="19">
        <v>55.05</v>
      </c>
      <c r="G136" s="19">
        <v>55.05</v>
      </c>
      <c r="H136" s="13" t="s">
        <v>173</v>
      </c>
      <c r="I136" s="14">
        <f t="shared" si="24"/>
        <v>0.22020000000000001</v>
      </c>
    </row>
    <row r="137" spans="1:9" x14ac:dyDescent="0.25">
      <c r="A137" s="85"/>
      <c r="B137" s="81" t="s">
        <v>17</v>
      </c>
      <c r="C137" s="58" t="s">
        <v>16</v>
      </c>
      <c r="D137" s="15">
        <f>D138</f>
        <v>155995.6</v>
      </c>
      <c r="E137" s="15">
        <f t="shared" ref="E137:G137" si="25">E138</f>
        <v>141944</v>
      </c>
      <c r="F137" s="15">
        <f t="shared" si="25"/>
        <v>37750.550000000003</v>
      </c>
      <c r="G137" s="15">
        <f t="shared" si="25"/>
        <v>37750.550000000003</v>
      </c>
      <c r="H137" s="16" t="s">
        <v>173</v>
      </c>
      <c r="I137" s="17">
        <f t="shared" si="24"/>
        <v>0.26600000000000001</v>
      </c>
    </row>
    <row r="138" spans="1:9" ht="31.5" x14ac:dyDescent="0.25">
      <c r="A138" s="86"/>
      <c r="B138" s="87"/>
      <c r="C138" s="59" t="s">
        <v>13</v>
      </c>
      <c r="D138" s="12">
        <f>D131+D132+D133+D134+D135+D136</f>
        <v>155995.6</v>
      </c>
      <c r="E138" s="12">
        <f t="shared" ref="E138:G138" si="26">E131+E132+E133+E134+E135+E136</f>
        <v>141944</v>
      </c>
      <c r="F138" s="12">
        <f t="shared" si="26"/>
        <v>37750.550000000003</v>
      </c>
      <c r="G138" s="12">
        <f t="shared" si="26"/>
        <v>37750.550000000003</v>
      </c>
      <c r="H138" s="13" t="s">
        <v>173</v>
      </c>
      <c r="I138" s="14">
        <f t="shared" si="24"/>
        <v>0.26600000000000001</v>
      </c>
    </row>
    <row r="139" spans="1:9" ht="15.75" customHeight="1" x14ac:dyDescent="0.25">
      <c r="A139" s="75" t="s">
        <v>86</v>
      </c>
      <c r="B139" s="76"/>
      <c r="C139" s="76"/>
      <c r="D139" s="76"/>
      <c r="E139" s="76"/>
      <c r="F139" s="76"/>
      <c r="G139" s="76"/>
      <c r="H139" s="76"/>
      <c r="I139" s="77"/>
    </row>
    <row r="140" spans="1:9" ht="31.5" x14ac:dyDescent="0.25">
      <c r="A140" s="81"/>
      <c r="B140" s="108" t="s">
        <v>241</v>
      </c>
      <c r="C140" s="59" t="s">
        <v>101</v>
      </c>
      <c r="D140" s="18">
        <v>7824</v>
      </c>
      <c r="E140" s="18">
        <v>7824</v>
      </c>
      <c r="F140" s="18">
        <v>1614.15</v>
      </c>
      <c r="G140" s="18">
        <v>1614.15</v>
      </c>
      <c r="H140" s="13" t="s">
        <v>173</v>
      </c>
      <c r="I140" s="14">
        <f t="shared" ref="I140:I150" si="27">ROUND(G140/E140,4)</f>
        <v>0.20630000000000001</v>
      </c>
    </row>
    <row r="141" spans="1:9" ht="29.25" customHeight="1" x14ac:dyDescent="0.25">
      <c r="A141" s="101"/>
      <c r="B141" s="109"/>
      <c r="C141" s="59" t="s">
        <v>13</v>
      </c>
      <c r="D141" s="18">
        <v>176</v>
      </c>
      <c r="E141" s="18">
        <v>176</v>
      </c>
      <c r="F141" s="18">
        <v>0</v>
      </c>
      <c r="G141" s="18">
        <v>0</v>
      </c>
      <c r="H141" s="13" t="s">
        <v>173</v>
      </c>
      <c r="I141" s="14">
        <f t="shared" si="27"/>
        <v>0</v>
      </c>
    </row>
    <row r="142" spans="1:9" ht="31.5" x14ac:dyDescent="0.25">
      <c r="A142" s="81"/>
      <c r="B142" s="108" t="s">
        <v>242</v>
      </c>
      <c r="C142" s="59" t="s">
        <v>101</v>
      </c>
      <c r="D142" s="18">
        <v>2258.1</v>
      </c>
      <c r="E142" s="18">
        <v>2258.1</v>
      </c>
      <c r="F142" s="18">
        <v>0</v>
      </c>
      <c r="G142" s="18">
        <v>0</v>
      </c>
      <c r="H142" s="13" t="s">
        <v>173</v>
      </c>
      <c r="I142" s="14">
        <f t="shared" si="27"/>
        <v>0</v>
      </c>
    </row>
    <row r="143" spans="1:9" ht="30.75" customHeight="1" x14ac:dyDescent="0.25">
      <c r="A143" s="101"/>
      <c r="B143" s="109"/>
      <c r="C143" s="59" t="s">
        <v>13</v>
      </c>
      <c r="D143" s="18">
        <v>51</v>
      </c>
      <c r="E143" s="18">
        <v>51</v>
      </c>
      <c r="F143" s="18">
        <v>0</v>
      </c>
      <c r="G143" s="18">
        <v>0</v>
      </c>
      <c r="H143" s="13" t="s">
        <v>173</v>
      </c>
      <c r="I143" s="14">
        <f t="shared" si="27"/>
        <v>0</v>
      </c>
    </row>
    <row r="144" spans="1:9" x14ac:dyDescent="0.25">
      <c r="A144" s="85"/>
      <c r="B144" s="81" t="s">
        <v>17</v>
      </c>
      <c r="C144" s="58" t="s">
        <v>16</v>
      </c>
      <c r="D144" s="15">
        <f>D145+D146</f>
        <v>10309.1</v>
      </c>
      <c r="E144" s="15">
        <f t="shared" ref="E144:G144" si="28">E145+E146</f>
        <v>10309.1</v>
      </c>
      <c r="F144" s="15">
        <f t="shared" si="28"/>
        <v>1614.15</v>
      </c>
      <c r="G144" s="15">
        <f t="shared" si="28"/>
        <v>1614.15</v>
      </c>
      <c r="H144" s="13" t="s">
        <v>173</v>
      </c>
      <c r="I144" s="14">
        <f t="shared" si="27"/>
        <v>0.15659999999999999</v>
      </c>
    </row>
    <row r="145" spans="1:9" ht="31.5" x14ac:dyDescent="0.25">
      <c r="A145" s="86"/>
      <c r="B145" s="88"/>
      <c r="C145" s="59" t="str">
        <f>C142</f>
        <v>федеральный бюджет</v>
      </c>
      <c r="D145" s="12">
        <f>D142+D140</f>
        <v>10082.1</v>
      </c>
      <c r="E145" s="12">
        <f t="shared" ref="E145:G145" si="29">E142+E140</f>
        <v>10082.1</v>
      </c>
      <c r="F145" s="12">
        <f t="shared" si="29"/>
        <v>1614.15</v>
      </c>
      <c r="G145" s="12">
        <f t="shared" si="29"/>
        <v>1614.15</v>
      </c>
      <c r="H145" s="13" t="s">
        <v>173</v>
      </c>
      <c r="I145" s="14">
        <f t="shared" si="27"/>
        <v>0.16009999999999999</v>
      </c>
    </row>
    <row r="146" spans="1:9" ht="31.5" x14ac:dyDescent="0.25">
      <c r="A146" s="63"/>
      <c r="B146" s="101"/>
      <c r="C146" s="59" t="s">
        <v>13</v>
      </c>
      <c r="D146" s="12">
        <f>D141+D143</f>
        <v>227</v>
      </c>
      <c r="E146" s="12">
        <f t="shared" ref="E146:G146" si="30">E141+E143</f>
        <v>227</v>
      </c>
      <c r="F146" s="12">
        <f t="shared" si="30"/>
        <v>0</v>
      </c>
      <c r="G146" s="12">
        <f t="shared" si="30"/>
        <v>0</v>
      </c>
      <c r="H146" s="13" t="s">
        <v>173</v>
      </c>
      <c r="I146" s="14">
        <f t="shared" si="27"/>
        <v>0</v>
      </c>
    </row>
    <row r="147" spans="1:9" x14ac:dyDescent="0.25">
      <c r="A147" s="85"/>
      <c r="B147" s="98" t="s">
        <v>14</v>
      </c>
      <c r="C147" s="58" t="s">
        <v>16</v>
      </c>
      <c r="D147" s="15">
        <f>D148+D149+D150</f>
        <v>311396.09999999998</v>
      </c>
      <c r="E147" s="15">
        <f t="shared" ref="E147:G147" si="31">E148+E149+E150</f>
        <v>293428.84999999998</v>
      </c>
      <c r="F147" s="15">
        <f t="shared" si="31"/>
        <v>71986.959999999992</v>
      </c>
      <c r="G147" s="15">
        <f t="shared" si="31"/>
        <v>71986.959999999992</v>
      </c>
      <c r="H147" s="13" t="s">
        <v>173</v>
      </c>
      <c r="I147" s="14">
        <f t="shared" si="27"/>
        <v>0.24529999999999999</v>
      </c>
    </row>
    <row r="148" spans="1:9" ht="31.5" x14ac:dyDescent="0.25">
      <c r="A148" s="86"/>
      <c r="B148" s="119"/>
      <c r="C148" s="59" t="s">
        <v>13</v>
      </c>
      <c r="D148" s="12">
        <f>D128+D138+D146</f>
        <v>296814</v>
      </c>
      <c r="E148" s="12">
        <f t="shared" ref="E148:G148" si="32">E128+E138+E146</f>
        <v>278846.75</v>
      </c>
      <c r="F148" s="12">
        <f t="shared" si="32"/>
        <v>69247.81</v>
      </c>
      <c r="G148" s="12">
        <f t="shared" si="32"/>
        <v>69247.81</v>
      </c>
      <c r="H148" s="13" t="s">
        <v>173</v>
      </c>
      <c r="I148" s="14">
        <f t="shared" si="27"/>
        <v>0.24829999999999999</v>
      </c>
    </row>
    <row r="149" spans="1:9" ht="47.25" x14ac:dyDescent="0.25">
      <c r="A149" s="86"/>
      <c r="B149" s="119"/>
      <c r="C149" s="59" t="s">
        <v>15</v>
      </c>
      <c r="D149" s="12">
        <f>D129</f>
        <v>4500</v>
      </c>
      <c r="E149" s="12">
        <f t="shared" ref="E149:G149" si="33">E129</f>
        <v>4500</v>
      </c>
      <c r="F149" s="12">
        <f t="shared" si="33"/>
        <v>1125</v>
      </c>
      <c r="G149" s="12">
        <f t="shared" si="33"/>
        <v>1125</v>
      </c>
      <c r="H149" s="13" t="s">
        <v>173</v>
      </c>
      <c r="I149" s="14">
        <f t="shared" si="27"/>
        <v>0.25</v>
      </c>
    </row>
    <row r="150" spans="1:9" ht="31.5" x14ac:dyDescent="0.25">
      <c r="A150" s="63"/>
      <c r="B150" s="120"/>
      <c r="C150" s="59" t="s">
        <v>101</v>
      </c>
      <c r="D150" s="12">
        <f>D145</f>
        <v>10082.1</v>
      </c>
      <c r="E150" s="12">
        <f t="shared" ref="E150:G150" si="34">E145</f>
        <v>10082.1</v>
      </c>
      <c r="F150" s="12">
        <f t="shared" si="34"/>
        <v>1614.15</v>
      </c>
      <c r="G150" s="12">
        <f t="shared" si="34"/>
        <v>1614.15</v>
      </c>
      <c r="H150" s="13" t="s">
        <v>173</v>
      </c>
      <c r="I150" s="14">
        <f t="shared" si="27"/>
        <v>0.16009999999999999</v>
      </c>
    </row>
    <row r="151" spans="1:9" ht="15.75" customHeight="1" x14ac:dyDescent="0.25">
      <c r="A151" s="6">
        <v>6</v>
      </c>
      <c r="B151" s="75" t="s">
        <v>155</v>
      </c>
      <c r="C151" s="76"/>
      <c r="D151" s="76"/>
      <c r="E151" s="76"/>
      <c r="F151" s="76"/>
      <c r="G151" s="76"/>
      <c r="H151" s="76"/>
      <c r="I151" s="77"/>
    </row>
    <row r="152" spans="1:9" ht="47.25" x14ac:dyDescent="0.25">
      <c r="A152" s="6"/>
      <c r="B152" s="59" t="s">
        <v>165</v>
      </c>
      <c r="C152" s="59" t="s">
        <v>13</v>
      </c>
      <c r="D152" s="12">
        <v>3003</v>
      </c>
      <c r="E152" s="12">
        <v>1654.25</v>
      </c>
      <c r="F152" s="12">
        <v>0</v>
      </c>
      <c r="G152" s="12">
        <v>0</v>
      </c>
      <c r="H152" s="13" t="s">
        <v>173</v>
      </c>
      <c r="I152" s="14">
        <f>ROUND(G152/E152,4)</f>
        <v>0</v>
      </c>
    </row>
    <row r="153" spans="1:9" x14ac:dyDescent="0.25">
      <c r="A153" s="84"/>
      <c r="B153" s="78" t="s">
        <v>14</v>
      </c>
      <c r="C153" s="58" t="s">
        <v>16</v>
      </c>
      <c r="D153" s="15">
        <f>D154</f>
        <v>3003</v>
      </c>
      <c r="E153" s="15">
        <f>E154</f>
        <v>1654.25</v>
      </c>
      <c r="F153" s="15">
        <f>F154</f>
        <v>0</v>
      </c>
      <c r="G153" s="15">
        <f>G154</f>
        <v>0</v>
      </c>
      <c r="H153" s="13" t="s">
        <v>173</v>
      </c>
      <c r="I153" s="14">
        <f>ROUND(G153/E153,4)</f>
        <v>0</v>
      </c>
    </row>
    <row r="154" spans="1:9" ht="31.5" x14ac:dyDescent="0.25">
      <c r="A154" s="84"/>
      <c r="B154" s="79"/>
      <c r="C154" s="59" t="s">
        <v>13</v>
      </c>
      <c r="D154" s="12">
        <f>D152</f>
        <v>3003</v>
      </c>
      <c r="E154" s="12">
        <f>E152</f>
        <v>1654.25</v>
      </c>
      <c r="F154" s="12">
        <f>F152</f>
        <v>0</v>
      </c>
      <c r="G154" s="12">
        <f>G152</f>
        <v>0</v>
      </c>
      <c r="H154" s="13" t="s">
        <v>173</v>
      </c>
      <c r="I154" s="14">
        <f>ROUND(G154/E154,4)</f>
        <v>0</v>
      </c>
    </row>
    <row r="155" spans="1:9" ht="15.75" customHeight="1" x14ac:dyDescent="0.25">
      <c r="A155" s="6">
        <v>7</v>
      </c>
      <c r="B155" s="75" t="s">
        <v>131</v>
      </c>
      <c r="C155" s="76"/>
      <c r="D155" s="76"/>
      <c r="E155" s="76"/>
      <c r="F155" s="76"/>
      <c r="G155" s="76"/>
      <c r="H155" s="76"/>
      <c r="I155" s="77"/>
    </row>
    <row r="156" spans="1:9" ht="15.75" customHeight="1" x14ac:dyDescent="0.25">
      <c r="A156" s="121" t="s">
        <v>18</v>
      </c>
      <c r="B156" s="122"/>
      <c r="C156" s="122"/>
      <c r="D156" s="122"/>
      <c r="E156" s="122"/>
      <c r="F156" s="122"/>
      <c r="G156" s="122"/>
      <c r="H156" s="122"/>
      <c r="I156" s="123"/>
    </row>
    <row r="157" spans="1:9" ht="63" x14ac:dyDescent="0.25">
      <c r="A157" s="11"/>
      <c r="B157" s="59" t="s">
        <v>48</v>
      </c>
      <c r="C157" s="59" t="s">
        <v>13</v>
      </c>
      <c r="D157" s="12">
        <v>283.5</v>
      </c>
      <c r="E157" s="12">
        <v>141.75</v>
      </c>
      <c r="F157" s="12">
        <v>0</v>
      </c>
      <c r="G157" s="12">
        <v>0</v>
      </c>
      <c r="H157" s="13" t="s">
        <v>173</v>
      </c>
      <c r="I157" s="14">
        <f>ROUND(G157/E157,4)</f>
        <v>0</v>
      </c>
    </row>
    <row r="158" spans="1:9" s="3" customFormat="1" ht="31.5" x14ac:dyDescent="0.25">
      <c r="A158" s="20"/>
      <c r="B158" s="58" t="s">
        <v>17</v>
      </c>
      <c r="C158" s="58" t="s">
        <v>13</v>
      </c>
      <c r="D158" s="15">
        <f>D157</f>
        <v>283.5</v>
      </c>
      <c r="E158" s="15">
        <f>E157</f>
        <v>141.75</v>
      </c>
      <c r="F158" s="15">
        <f>F157</f>
        <v>0</v>
      </c>
      <c r="G158" s="15">
        <f>G157</f>
        <v>0</v>
      </c>
      <c r="H158" s="16" t="s">
        <v>173</v>
      </c>
      <c r="I158" s="17">
        <f>ROUND(G158/E158,4)</f>
        <v>0</v>
      </c>
    </row>
    <row r="159" spans="1:9" ht="15.75" customHeight="1" x14ac:dyDescent="0.25">
      <c r="A159" s="110" t="s">
        <v>67</v>
      </c>
      <c r="B159" s="111"/>
      <c r="C159" s="111"/>
      <c r="D159" s="111"/>
      <c r="E159" s="111"/>
      <c r="F159" s="111"/>
      <c r="G159" s="111"/>
      <c r="H159" s="111"/>
      <c r="I159" s="112"/>
    </row>
    <row r="160" spans="1:9" s="3" customFormat="1" ht="31.5" x14ac:dyDescent="0.25">
      <c r="A160" s="20"/>
      <c r="B160" s="59" t="s">
        <v>68</v>
      </c>
      <c r="C160" s="59" t="s">
        <v>13</v>
      </c>
      <c r="D160" s="12">
        <v>11866.86</v>
      </c>
      <c r="E160" s="12">
        <v>11866.86</v>
      </c>
      <c r="F160" s="12">
        <v>1506.09</v>
      </c>
      <c r="G160" s="12">
        <v>112.84</v>
      </c>
      <c r="H160" s="13" t="s">
        <v>173</v>
      </c>
      <c r="I160" s="14">
        <f t="shared" ref="I160:I171" si="35">ROUND(G160/E160,4)</f>
        <v>9.4999999999999998E-3</v>
      </c>
    </row>
    <row r="161" spans="1:9" s="3" customFormat="1" ht="78.75" x14ac:dyDescent="0.25">
      <c r="A161" s="20"/>
      <c r="B161" s="59" t="s">
        <v>110</v>
      </c>
      <c r="C161" s="59" t="s">
        <v>15</v>
      </c>
      <c r="D161" s="12">
        <v>12361.05</v>
      </c>
      <c r="E161" s="12">
        <v>12361.05</v>
      </c>
      <c r="F161" s="12">
        <v>0</v>
      </c>
      <c r="G161" s="12">
        <v>0</v>
      </c>
      <c r="H161" s="13" t="s">
        <v>173</v>
      </c>
      <c r="I161" s="14">
        <f t="shared" si="35"/>
        <v>0</v>
      </c>
    </row>
    <row r="162" spans="1:9" s="3" customFormat="1" ht="141.75" x14ac:dyDescent="0.25">
      <c r="A162" s="20"/>
      <c r="B162" s="59" t="s">
        <v>212</v>
      </c>
      <c r="C162" s="59" t="s">
        <v>15</v>
      </c>
      <c r="D162" s="12">
        <v>1085.42</v>
      </c>
      <c r="E162" s="12">
        <v>1085.42</v>
      </c>
      <c r="F162" s="12">
        <v>0</v>
      </c>
      <c r="G162" s="12">
        <v>0</v>
      </c>
      <c r="H162" s="13" t="s">
        <v>173</v>
      </c>
      <c r="I162" s="14">
        <f t="shared" si="35"/>
        <v>0</v>
      </c>
    </row>
    <row r="163" spans="1:9" s="3" customFormat="1" ht="94.5" x14ac:dyDescent="0.25">
      <c r="A163" s="20"/>
      <c r="B163" s="59" t="s">
        <v>112</v>
      </c>
      <c r="C163" s="59" t="s">
        <v>13</v>
      </c>
      <c r="D163" s="12">
        <v>4688.68</v>
      </c>
      <c r="E163" s="12">
        <v>4688.68</v>
      </c>
      <c r="F163" s="12">
        <v>0</v>
      </c>
      <c r="G163" s="12">
        <v>0</v>
      </c>
      <c r="H163" s="13" t="s">
        <v>173</v>
      </c>
      <c r="I163" s="14">
        <f t="shared" si="35"/>
        <v>0</v>
      </c>
    </row>
    <row r="164" spans="1:9" s="3" customFormat="1" ht="141.75" x14ac:dyDescent="0.25">
      <c r="A164" s="71"/>
      <c r="B164" s="60" t="s">
        <v>99</v>
      </c>
      <c r="C164" s="59" t="s">
        <v>13</v>
      </c>
      <c r="D164" s="12">
        <v>11400</v>
      </c>
      <c r="E164" s="12">
        <v>11400</v>
      </c>
      <c r="F164" s="12">
        <v>7467.4</v>
      </c>
      <c r="G164" s="12">
        <v>6264.72</v>
      </c>
      <c r="H164" s="13" t="s">
        <v>173</v>
      </c>
      <c r="I164" s="14">
        <f t="shared" si="35"/>
        <v>0.54949999999999999</v>
      </c>
    </row>
    <row r="165" spans="1:9" s="3" customFormat="1" ht="141.75" x14ac:dyDescent="0.25">
      <c r="A165" s="71"/>
      <c r="B165" s="60" t="s">
        <v>211</v>
      </c>
      <c r="C165" s="59" t="s">
        <v>13</v>
      </c>
      <c r="D165" s="12">
        <v>350.32</v>
      </c>
      <c r="E165" s="12">
        <v>350.32</v>
      </c>
      <c r="F165" s="12">
        <v>0</v>
      </c>
      <c r="G165" s="12">
        <v>0</v>
      </c>
      <c r="H165" s="13" t="s">
        <v>173</v>
      </c>
      <c r="I165" s="14">
        <f t="shared" si="35"/>
        <v>0</v>
      </c>
    </row>
    <row r="166" spans="1:9" s="3" customFormat="1" x14ac:dyDescent="0.25">
      <c r="A166" s="92"/>
      <c r="B166" s="81" t="s">
        <v>17</v>
      </c>
      <c r="C166" s="58" t="s">
        <v>84</v>
      </c>
      <c r="D166" s="15">
        <f>D168+D167</f>
        <v>41752.33</v>
      </c>
      <c r="E166" s="15">
        <f>E168+E167</f>
        <v>41752.33</v>
      </c>
      <c r="F166" s="15">
        <f>F168+F167</f>
        <v>8973.49</v>
      </c>
      <c r="G166" s="15">
        <f>G168+G167</f>
        <v>6377.56</v>
      </c>
      <c r="H166" s="13" t="s">
        <v>173</v>
      </c>
      <c r="I166" s="14">
        <f t="shared" si="35"/>
        <v>0.1527</v>
      </c>
    </row>
    <row r="167" spans="1:9" s="3" customFormat="1" ht="47.25" x14ac:dyDescent="0.25">
      <c r="A167" s="93"/>
      <c r="B167" s="88"/>
      <c r="C167" s="58" t="s">
        <v>15</v>
      </c>
      <c r="D167" s="12">
        <f>D161+D162</f>
        <v>13446.47</v>
      </c>
      <c r="E167" s="12">
        <f>E161+E162</f>
        <v>13446.47</v>
      </c>
      <c r="F167" s="12">
        <f>F161+F162</f>
        <v>0</v>
      </c>
      <c r="G167" s="12">
        <f>G161+G162</f>
        <v>0</v>
      </c>
      <c r="H167" s="13" t="s">
        <v>173</v>
      </c>
      <c r="I167" s="14">
        <f t="shared" si="35"/>
        <v>0</v>
      </c>
    </row>
    <row r="168" spans="1:9" s="3" customFormat="1" ht="31.5" x14ac:dyDescent="0.25">
      <c r="A168" s="94"/>
      <c r="B168" s="82"/>
      <c r="C168" s="58" t="s">
        <v>13</v>
      </c>
      <c r="D168" s="12">
        <f>D160+D163+D164+D165</f>
        <v>28305.86</v>
      </c>
      <c r="E168" s="12">
        <f>E160+E163+E164+E165</f>
        <v>28305.86</v>
      </c>
      <c r="F168" s="12">
        <f>F160+F163+F164+F165</f>
        <v>8973.49</v>
      </c>
      <c r="G168" s="12">
        <f>G160+G163+G164+G165</f>
        <v>6377.56</v>
      </c>
      <c r="H168" s="13" t="s">
        <v>173</v>
      </c>
      <c r="I168" s="14">
        <f t="shared" si="35"/>
        <v>0.2253</v>
      </c>
    </row>
    <row r="169" spans="1:9" x14ac:dyDescent="0.25">
      <c r="A169" s="84"/>
      <c r="B169" s="78" t="s">
        <v>14</v>
      </c>
      <c r="C169" s="58" t="s">
        <v>16</v>
      </c>
      <c r="D169" s="15">
        <f>D170+D171</f>
        <v>42035.83</v>
      </c>
      <c r="E169" s="15">
        <f>E170+E171</f>
        <v>41894.080000000002</v>
      </c>
      <c r="F169" s="15">
        <f>F170+F171</f>
        <v>8973.49</v>
      </c>
      <c r="G169" s="15">
        <f>G170+G171</f>
        <v>6377.56</v>
      </c>
      <c r="H169" s="13" t="s">
        <v>173</v>
      </c>
      <c r="I169" s="14">
        <f t="shared" si="35"/>
        <v>0.1522</v>
      </c>
    </row>
    <row r="170" spans="1:9" ht="31.5" x14ac:dyDescent="0.25">
      <c r="A170" s="84"/>
      <c r="B170" s="79"/>
      <c r="C170" s="59" t="s">
        <v>13</v>
      </c>
      <c r="D170" s="12">
        <f>D158+D168</f>
        <v>28589.360000000001</v>
      </c>
      <c r="E170" s="12">
        <f>E158+E168</f>
        <v>28447.61</v>
      </c>
      <c r="F170" s="12">
        <f>F158+F168</f>
        <v>8973.49</v>
      </c>
      <c r="G170" s="12">
        <f>G158+G168</f>
        <v>6377.56</v>
      </c>
      <c r="H170" s="13" t="s">
        <v>173</v>
      </c>
      <c r="I170" s="14">
        <f t="shared" si="35"/>
        <v>0.22420000000000001</v>
      </c>
    </row>
    <row r="171" spans="1:9" ht="47.25" x14ac:dyDescent="0.25">
      <c r="A171" s="84"/>
      <c r="B171" s="79"/>
      <c r="C171" s="59" t="s">
        <v>15</v>
      </c>
      <c r="D171" s="12">
        <f>D167</f>
        <v>13446.47</v>
      </c>
      <c r="E171" s="12">
        <f>E167</f>
        <v>13446.47</v>
      </c>
      <c r="F171" s="12">
        <f>F167</f>
        <v>0</v>
      </c>
      <c r="G171" s="12">
        <f>G167</f>
        <v>0</v>
      </c>
      <c r="H171" s="13" t="s">
        <v>173</v>
      </c>
      <c r="I171" s="14">
        <f t="shared" si="35"/>
        <v>0</v>
      </c>
    </row>
    <row r="172" spans="1:9" x14ac:dyDescent="0.25">
      <c r="A172" s="6">
        <v>8</v>
      </c>
      <c r="B172" s="89" t="s">
        <v>132</v>
      </c>
      <c r="C172" s="90"/>
      <c r="D172" s="90"/>
      <c r="E172" s="90"/>
      <c r="F172" s="90"/>
      <c r="G172" s="90"/>
      <c r="H172" s="90"/>
      <c r="I172" s="91"/>
    </row>
    <row r="173" spans="1:9" x14ac:dyDescent="0.25">
      <c r="A173" s="89" t="s">
        <v>51</v>
      </c>
      <c r="B173" s="90"/>
      <c r="C173" s="90"/>
      <c r="D173" s="90"/>
      <c r="E173" s="90"/>
      <c r="F173" s="90"/>
      <c r="G173" s="90"/>
      <c r="H173" s="90"/>
      <c r="I173" s="91"/>
    </row>
    <row r="174" spans="1:9" ht="63" x14ac:dyDescent="0.25">
      <c r="A174" s="29"/>
      <c r="B174" s="59" t="s">
        <v>69</v>
      </c>
      <c r="C174" s="59" t="s">
        <v>13</v>
      </c>
      <c r="D174" s="12">
        <v>2250</v>
      </c>
      <c r="E174" s="12">
        <v>0</v>
      </c>
      <c r="F174" s="12">
        <v>0</v>
      </c>
      <c r="G174" s="12">
        <v>0</v>
      </c>
      <c r="H174" s="13" t="s">
        <v>173</v>
      </c>
      <c r="I174" s="14">
        <v>0</v>
      </c>
    </row>
    <row r="175" spans="1:9" x14ac:dyDescent="0.25">
      <c r="A175" s="85"/>
      <c r="B175" s="81" t="s">
        <v>17</v>
      </c>
      <c r="C175" s="58" t="s">
        <v>16</v>
      </c>
      <c r="D175" s="15">
        <f>D176</f>
        <v>2250</v>
      </c>
      <c r="E175" s="15">
        <f>E176</f>
        <v>0</v>
      </c>
      <c r="F175" s="15">
        <f>F176</f>
        <v>0</v>
      </c>
      <c r="G175" s="15">
        <f>G176</f>
        <v>0</v>
      </c>
      <c r="H175" s="13" t="s">
        <v>173</v>
      </c>
      <c r="I175" s="14">
        <v>0</v>
      </c>
    </row>
    <row r="176" spans="1:9" ht="31.5" x14ac:dyDescent="0.25">
      <c r="A176" s="86"/>
      <c r="B176" s="87"/>
      <c r="C176" s="59" t="s">
        <v>13</v>
      </c>
      <c r="D176" s="12">
        <f>D174</f>
        <v>2250</v>
      </c>
      <c r="E176" s="12">
        <f>E174</f>
        <v>0</v>
      </c>
      <c r="F176" s="12">
        <f>F174</f>
        <v>0</v>
      </c>
      <c r="G176" s="12">
        <f>G174</f>
        <v>0</v>
      </c>
      <c r="H176" s="13" t="s">
        <v>173</v>
      </c>
      <c r="I176" s="14">
        <v>0</v>
      </c>
    </row>
    <row r="177" spans="1:9" s="2" customFormat="1" ht="15.75" customHeight="1" x14ac:dyDescent="0.25">
      <c r="A177" s="89" t="s">
        <v>152</v>
      </c>
      <c r="B177" s="90"/>
      <c r="C177" s="90"/>
      <c r="D177" s="90"/>
      <c r="E177" s="90"/>
      <c r="F177" s="90"/>
      <c r="G177" s="90"/>
      <c r="H177" s="90"/>
      <c r="I177" s="91"/>
    </row>
    <row r="178" spans="1:9" s="2" customFormat="1" ht="31.5" x14ac:dyDescent="0.25">
      <c r="A178" s="64"/>
      <c r="B178" s="59" t="s">
        <v>96</v>
      </c>
      <c r="C178" s="59" t="s">
        <v>13</v>
      </c>
      <c r="D178" s="12">
        <v>300</v>
      </c>
      <c r="E178" s="12">
        <v>0</v>
      </c>
      <c r="F178" s="12">
        <v>0</v>
      </c>
      <c r="G178" s="12">
        <v>0</v>
      </c>
      <c r="H178" s="13" t="s">
        <v>173</v>
      </c>
      <c r="I178" s="14">
        <v>0</v>
      </c>
    </row>
    <row r="179" spans="1:9" s="2" customFormat="1" ht="173.25" x14ac:dyDescent="0.25">
      <c r="A179" s="64"/>
      <c r="B179" s="59" t="s">
        <v>133</v>
      </c>
      <c r="C179" s="59" t="s">
        <v>13</v>
      </c>
      <c r="D179" s="12">
        <v>200</v>
      </c>
      <c r="E179" s="12">
        <v>0</v>
      </c>
      <c r="F179" s="12">
        <v>0</v>
      </c>
      <c r="G179" s="12">
        <v>0</v>
      </c>
      <c r="H179" s="13" t="s">
        <v>173</v>
      </c>
      <c r="I179" s="14">
        <v>0</v>
      </c>
    </row>
    <row r="180" spans="1:9" s="2" customFormat="1" ht="94.5" x14ac:dyDescent="0.25">
      <c r="A180" s="64"/>
      <c r="B180" s="59" t="s">
        <v>243</v>
      </c>
      <c r="C180" s="59" t="s">
        <v>13</v>
      </c>
      <c r="D180" s="12">
        <v>450</v>
      </c>
      <c r="E180" s="12">
        <v>0</v>
      </c>
      <c r="F180" s="12">
        <v>0</v>
      </c>
      <c r="G180" s="12">
        <v>0</v>
      </c>
      <c r="H180" s="13" t="s">
        <v>173</v>
      </c>
      <c r="I180" s="14">
        <v>0</v>
      </c>
    </row>
    <row r="181" spans="1:9" s="2" customFormat="1" x14ac:dyDescent="0.25">
      <c r="A181" s="84"/>
      <c r="B181" s="78" t="s">
        <v>17</v>
      </c>
      <c r="C181" s="30" t="s">
        <v>16</v>
      </c>
      <c r="D181" s="31">
        <f>D182</f>
        <v>950</v>
      </c>
      <c r="E181" s="31">
        <f>E182</f>
        <v>0</v>
      </c>
      <c r="F181" s="31">
        <f>F182</f>
        <v>0</v>
      </c>
      <c r="G181" s="31">
        <f>G182</f>
        <v>0</v>
      </c>
      <c r="H181" s="13" t="s">
        <v>173</v>
      </c>
      <c r="I181" s="14">
        <v>0</v>
      </c>
    </row>
    <row r="182" spans="1:9" s="2" customFormat="1" ht="31.5" x14ac:dyDescent="0.25">
      <c r="A182" s="79"/>
      <c r="B182" s="79"/>
      <c r="C182" s="59" t="s">
        <v>13</v>
      </c>
      <c r="D182" s="12">
        <f>D178+D179+D180</f>
        <v>950</v>
      </c>
      <c r="E182" s="12">
        <f>E178+E179+E180</f>
        <v>0</v>
      </c>
      <c r="F182" s="12">
        <f>F178+F179+F180</f>
        <v>0</v>
      </c>
      <c r="G182" s="12">
        <f>G178+G179+G180</f>
        <v>0</v>
      </c>
      <c r="H182" s="13" t="s">
        <v>173</v>
      </c>
      <c r="I182" s="14">
        <v>0</v>
      </c>
    </row>
    <row r="183" spans="1:9" s="2" customFormat="1" x14ac:dyDescent="0.25">
      <c r="A183" s="64"/>
      <c r="B183" s="89" t="s">
        <v>104</v>
      </c>
      <c r="C183" s="90"/>
      <c r="D183" s="90"/>
      <c r="E183" s="90"/>
      <c r="F183" s="90"/>
      <c r="G183" s="90"/>
      <c r="H183" s="90"/>
      <c r="I183" s="91"/>
    </row>
    <row r="184" spans="1:9" s="2" customFormat="1" ht="31.5" x14ac:dyDescent="0.25">
      <c r="A184" s="64"/>
      <c r="B184" s="59" t="s">
        <v>105</v>
      </c>
      <c r="C184" s="59" t="s">
        <v>13</v>
      </c>
      <c r="D184" s="12">
        <v>30</v>
      </c>
      <c r="E184" s="12">
        <v>0</v>
      </c>
      <c r="F184" s="12">
        <v>0</v>
      </c>
      <c r="G184" s="12">
        <v>0</v>
      </c>
      <c r="H184" s="13" t="s">
        <v>173</v>
      </c>
      <c r="I184" s="14">
        <v>0</v>
      </c>
    </row>
    <row r="185" spans="1:9" s="2" customFormat="1" ht="31.5" x14ac:dyDescent="0.25">
      <c r="A185" s="64"/>
      <c r="B185" s="59" t="s">
        <v>106</v>
      </c>
      <c r="C185" s="59" t="s">
        <v>13</v>
      </c>
      <c r="D185" s="12">
        <v>20</v>
      </c>
      <c r="E185" s="12">
        <v>10</v>
      </c>
      <c r="F185" s="12">
        <v>0</v>
      </c>
      <c r="G185" s="12">
        <v>0</v>
      </c>
      <c r="H185" s="13" t="s">
        <v>173</v>
      </c>
      <c r="I185" s="14">
        <f t="shared" ref="I185:I189" si="36">ROUND(G185/E185,4)</f>
        <v>0</v>
      </c>
    </row>
    <row r="186" spans="1:9" s="2" customFormat="1" x14ac:dyDescent="0.25">
      <c r="A186" s="84"/>
      <c r="B186" s="78" t="s">
        <v>17</v>
      </c>
      <c r="C186" s="30" t="s">
        <v>16</v>
      </c>
      <c r="D186" s="31">
        <f>D187</f>
        <v>50</v>
      </c>
      <c r="E186" s="31">
        <f>E187</f>
        <v>10</v>
      </c>
      <c r="F186" s="31">
        <f>F187</f>
        <v>0</v>
      </c>
      <c r="G186" s="31">
        <f>G187</f>
        <v>0</v>
      </c>
      <c r="H186" s="16" t="s">
        <v>173</v>
      </c>
      <c r="I186" s="17">
        <f t="shared" si="36"/>
        <v>0</v>
      </c>
    </row>
    <row r="187" spans="1:9" s="2" customFormat="1" ht="31.5" x14ac:dyDescent="0.25">
      <c r="A187" s="79"/>
      <c r="B187" s="79"/>
      <c r="C187" s="59" t="s">
        <v>13</v>
      </c>
      <c r="D187" s="12">
        <f>D184+D185</f>
        <v>50</v>
      </c>
      <c r="E187" s="12">
        <f>E184+E185</f>
        <v>10</v>
      </c>
      <c r="F187" s="12">
        <f>F184+F185</f>
        <v>0</v>
      </c>
      <c r="G187" s="12">
        <f>G184+G185</f>
        <v>0</v>
      </c>
      <c r="H187" s="13" t="s">
        <v>173</v>
      </c>
      <c r="I187" s="14">
        <f t="shared" si="36"/>
        <v>0</v>
      </c>
    </row>
    <row r="188" spans="1:9" s="2" customFormat="1" x14ac:dyDescent="0.25">
      <c r="A188" s="108"/>
      <c r="B188" s="81" t="s">
        <v>14</v>
      </c>
      <c r="C188" s="30" t="s">
        <v>16</v>
      </c>
      <c r="D188" s="31">
        <f>D189</f>
        <v>3250</v>
      </c>
      <c r="E188" s="31">
        <f>E189</f>
        <v>10</v>
      </c>
      <c r="F188" s="31">
        <f>F189</f>
        <v>0</v>
      </c>
      <c r="G188" s="31">
        <f>G189</f>
        <v>0</v>
      </c>
      <c r="H188" s="16" t="s">
        <v>173</v>
      </c>
      <c r="I188" s="17">
        <f t="shared" si="36"/>
        <v>0</v>
      </c>
    </row>
    <row r="189" spans="1:9" s="2" customFormat="1" ht="31.5" x14ac:dyDescent="0.25">
      <c r="A189" s="82"/>
      <c r="B189" s="100"/>
      <c r="C189" s="59" t="s">
        <v>13</v>
      </c>
      <c r="D189" s="12">
        <f>D176+D182+D187</f>
        <v>3250</v>
      </c>
      <c r="E189" s="12">
        <f>E176+E182+E187</f>
        <v>10</v>
      </c>
      <c r="F189" s="12">
        <f>F176+F182+F187</f>
        <v>0</v>
      </c>
      <c r="G189" s="12">
        <f>G176+G182+G187</f>
        <v>0</v>
      </c>
      <c r="H189" s="13" t="s">
        <v>173</v>
      </c>
      <c r="I189" s="14">
        <f t="shared" si="36"/>
        <v>0</v>
      </c>
    </row>
    <row r="190" spans="1:9" x14ac:dyDescent="0.25">
      <c r="A190" s="6">
        <v>9</v>
      </c>
      <c r="B190" s="72" t="s">
        <v>134</v>
      </c>
      <c r="C190" s="73"/>
      <c r="D190" s="73"/>
      <c r="E190" s="73"/>
      <c r="F190" s="73"/>
      <c r="G190" s="73"/>
      <c r="H190" s="73"/>
      <c r="I190" s="74"/>
    </row>
    <row r="191" spans="1:9" x14ac:dyDescent="0.25">
      <c r="A191" s="6"/>
      <c r="B191" s="72" t="s">
        <v>49</v>
      </c>
      <c r="C191" s="73"/>
      <c r="D191" s="73"/>
      <c r="E191" s="73"/>
      <c r="F191" s="73"/>
      <c r="G191" s="73"/>
      <c r="H191" s="73"/>
      <c r="I191" s="74"/>
    </row>
    <row r="192" spans="1:9" ht="31.5" x14ac:dyDescent="0.25">
      <c r="A192" s="69"/>
      <c r="B192" s="32" t="s">
        <v>244</v>
      </c>
      <c r="C192" s="59" t="s">
        <v>13</v>
      </c>
      <c r="D192" s="12">
        <v>18144.990000000002</v>
      </c>
      <c r="E192" s="12">
        <v>8837.2999999999993</v>
      </c>
      <c r="F192" s="12">
        <v>763.53</v>
      </c>
      <c r="G192" s="12">
        <v>749.56</v>
      </c>
      <c r="H192" s="13" t="s">
        <v>173</v>
      </c>
      <c r="I192" s="14">
        <f t="shared" ref="I192:I194" si="37">ROUND(G192/E192,4)</f>
        <v>8.48E-2</v>
      </c>
    </row>
    <row r="193" spans="1:9" x14ac:dyDescent="0.25">
      <c r="A193" s="85"/>
      <c r="B193" s="81" t="s">
        <v>17</v>
      </c>
      <c r="C193" s="58" t="s">
        <v>16</v>
      </c>
      <c r="D193" s="15">
        <f>D194</f>
        <v>18144.990000000002</v>
      </c>
      <c r="E193" s="15">
        <f>E194</f>
        <v>8837.2999999999993</v>
      </c>
      <c r="F193" s="15">
        <f>F194</f>
        <v>763.53</v>
      </c>
      <c r="G193" s="15">
        <f>G194</f>
        <v>749.56</v>
      </c>
      <c r="H193" s="13" t="s">
        <v>173</v>
      </c>
      <c r="I193" s="14">
        <f t="shared" si="37"/>
        <v>8.48E-2</v>
      </c>
    </row>
    <row r="194" spans="1:9" ht="31.5" x14ac:dyDescent="0.25">
      <c r="A194" s="86"/>
      <c r="B194" s="101"/>
      <c r="C194" s="59" t="s">
        <v>13</v>
      </c>
      <c r="D194" s="12">
        <f>SUM(D192:D192)</f>
        <v>18144.990000000002</v>
      </c>
      <c r="E194" s="12">
        <f>SUM(E192:E192)</f>
        <v>8837.2999999999993</v>
      </c>
      <c r="F194" s="12">
        <f>SUM(F192:F192)</f>
        <v>763.53</v>
      </c>
      <c r="G194" s="12">
        <f>SUM(G192:G192)</f>
        <v>749.56</v>
      </c>
      <c r="H194" s="13" t="s">
        <v>173</v>
      </c>
      <c r="I194" s="14">
        <f t="shared" si="37"/>
        <v>8.48E-2</v>
      </c>
    </row>
    <row r="195" spans="1:9" ht="15.75" customHeight="1" x14ac:dyDescent="0.25">
      <c r="A195" s="72" t="s">
        <v>12</v>
      </c>
      <c r="B195" s="73"/>
      <c r="C195" s="73"/>
      <c r="D195" s="73"/>
      <c r="E195" s="73"/>
      <c r="F195" s="73"/>
      <c r="G195" s="73"/>
      <c r="H195" s="73"/>
      <c r="I195" s="74"/>
    </row>
    <row r="196" spans="1:9" ht="47.25" x14ac:dyDescent="0.25">
      <c r="A196" s="33"/>
      <c r="B196" s="34" t="s">
        <v>204</v>
      </c>
      <c r="C196" s="59" t="s">
        <v>15</v>
      </c>
      <c r="D196" s="28">
        <v>84577</v>
      </c>
      <c r="E196" s="28">
        <v>84577</v>
      </c>
      <c r="F196" s="28">
        <f>10611.9+10482.33</f>
        <v>21094.23</v>
      </c>
      <c r="G196" s="28">
        <f>10611.9+10482.33</f>
        <v>21094.23</v>
      </c>
      <c r="H196" s="13" t="s">
        <v>173</v>
      </c>
      <c r="I196" s="14">
        <f t="shared" ref="I196:I205" si="38">ROUND(G196/E196,4)</f>
        <v>0.24940000000000001</v>
      </c>
    </row>
    <row r="197" spans="1:9" ht="31.5" x14ac:dyDescent="0.25">
      <c r="A197" s="33"/>
      <c r="B197" s="34" t="s">
        <v>204</v>
      </c>
      <c r="C197" s="59" t="s">
        <v>13</v>
      </c>
      <c r="D197" s="28">
        <v>40902.800000000003</v>
      </c>
      <c r="E197" s="28">
        <v>40902.800000000003</v>
      </c>
      <c r="F197" s="28">
        <v>10220.06</v>
      </c>
      <c r="G197" s="28">
        <v>10220.06</v>
      </c>
      <c r="H197" s="13" t="s">
        <v>173</v>
      </c>
      <c r="I197" s="14">
        <f t="shared" si="38"/>
        <v>0.24990000000000001</v>
      </c>
    </row>
    <row r="198" spans="1:9" ht="47.25" x14ac:dyDescent="0.25">
      <c r="A198" s="70"/>
      <c r="B198" s="35" t="s">
        <v>205</v>
      </c>
      <c r="C198" s="59" t="s">
        <v>15</v>
      </c>
      <c r="D198" s="28">
        <v>34580</v>
      </c>
      <c r="E198" s="28">
        <v>34580</v>
      </c>
      <c r="F198" s="28">
        <v>7574.54</v>
      </c>
      <c r="G198" s="28">
        <v>7574.54</v>
      </c>
      <c r="H198" s="13" t="s">
        <v>173</v>
      </c>
      <c r="I198" s="14">
        <f t="shared" si="38"/>
        <v>0.219</v>
      </c>
    </row>
    <row r="199" spans="1:9" ht="31.5" x14ac:dyDescent="0.25">
      <c r="A199" s="70"/>
      <c r="B199" s="35" t="s">
        <v>205</v>
      </c>
      <c r="C199" s="59" t="s">
        <v>13</v>
      </c>
      <c r="D199" s="28">
        <v>44012.6</v>
      </c>
      <c r="E199" s="28">
        <v>44012.6</v>
      </c>
      <c r="F199" s="28">
        <v>13167.1</v>
      </c>
      <c r="G199" s="28">
        <v>13167.1</v>
      </c>
      <c r="H199" s="13" t="s">
        <v>173</v>
      </c>
      <c r="I199" s="14">
        <f t="shared" si="38"/>
        <v>0.29920000000000002</v>
      </c>
    </row>
    <row r="200" spans="1:9" x14ac:dyDescent="0.25">
      <c r="A200" s="85"/>
      <c r="B200" s="81" t="s">
        <v>17</v>
      </c>
      <c r="C200" s="58" t="s">
        <v>16</v>
      </c>
      <c r="D200" s="15">
        <f>D201+D202</f>
        <v>204072.4</v>
      </c>
      <c r="E200" s="15">
        <f>E201+E202</f>
        <v>204072.4</v>
      </c>
      <c r="F200" s="15">
        <f>F201+F202</f>
        <v>52055.93</v>
      </c>
      <c r="G200" s="15">
        <f>G201+G202</f>
        <v>52055.93</v>
      </c>
      <c r="H200" s="16" t="s">
        <v>173</v>
      </c>
      <c r="I200" s="17">
        <f t="shared" si="38"/>
        <v>0.25509999999999999</v>
      </c>
    </row>
    <row r="201" spans="1:9" ht="31.5" x14ac:dyDescent="0.25">
      <c r="A201" s="86"/>
      <c r="B201" s="87"/>
      <c r="C201" s="59" t="s">
        <v>13</v>
      </c>
      <c r="D201" s="12">
        <f>D197+D199</f>
        <v>84915.4</v>
      </c>
      <c r="E201" s="12">
        <f>E197+E199</f>
        <v>84915.4</v>
      </c>
      <c r="F201" s="12">
        <f>F197+F199</f>
        <v>23387.16</v>
      </c>
      <c r="G201" s="12">
        <f>G197+G199</f>
        <v>23387.16</v>
      </c>
      <c r="H201" s="13" t="s">
        <v>173</v>
      </c>
      <c r="I201" s="14">
        <f t="shared" si="38"/>
        <v>0.27539999999999998</v>
      </c>
    </row>
    <row r="202" spans="1:9" ht="47.25" x14ac:dyDescent="0.25">
      <c r="A202" s="86"/>
      <c r="B202" s="87"/>
      <c r="C202" s="59" t="s">
        <v>15</v>
      </c>
      <c r="D202" s="12">
        <f>D196+D198</f>
        <v>119157</v>
      </c>
      <c r="E202" s="12">
        <f>E196+E198</f>
        <v>119157</v>
      </c>
      <c r="F202" s="12">
        <f>F196+F198</f>
        <v>28668.77</v>
      </c>
      <c r="G202" s="12">
        <f>G196+G198</f>
        <v>28668.77</v>
      </c>
      <c r="H202" s="13" t="s">
        <v>173</v>
      </c>
      <c r="I202" s="14">
        <f t="shared" si="38"/>
        <v>0.24060000000000001</v>
      </c>
    </row>
    <row r="203" spans="1:9" ht="31.5" x14ac:dyDescent="0.25">
      <c r="A203" s="102"/>
      <c r="B203" s="81" t="s">
        <v>14</v>
      </c>
      <c r="C203" s="58" t="s">
        <v>3</v>
      </c>
      <c r="D203" s="15">
        <f>D204+D205</f>
        <v>222217.39</v>
      </c>
      <c r="E203" s="15">
        <f>E204+E205</f>
        <v>212909.8</v>
      </c>
      <c r="F203" s="15">
        <f>F204+F205-0.1</f>
        <v>52819.46</v>
      </c>
      <c r="G203" s="15">
        <f>G204+G205-0.1</f>
        <v>52805.49</v>
      </c>
      <c r="H203" s="16" t="s">
        <v>173</v>
      </c>
      <c r="I203" s="17">
        <f t="shared" si="38"/>
        <v>0.248</v>
      </c>
    </row>
    <row r="204" spans="1:9" ht="31.5" x14ac:dyDescent="0.25">
      <c r="A204" s="105"/>
      <c r="B204" s="88"/>
      <c r="C204" s="59" t="s">
        <v>13</v>
      </c>
      <c r="D204" s="12">
        <f>D194+D201</f>
        <v>103060.39</v>
      </c>
      <c r="E204" s="12">
        <f>E194+E201+0.1</f>
        <v>93752.8</v>
      </c>
      <c r="F204" s="12">
        <f>F194+F201+0.1</f>
        <v>24150.789999999997</v>
      </c>
      <c r="G204" s="12">
        <f>G194+G201+0.1</f>
        <v>24136.82</v>
      </c>
      <c r="H204" s="13" t="s">
        <v>173</v>
      </c>
      <c r="I204" s="14">
        <f t="shared" si="38"/>
        <v>0.25750000000000001</v>
      </c>
    </row>
    <row r="205" spans="1:9" ht="47.25" x14ac:dyDescent="0.25">
      <c r="A205" s="94"/>
      <c r="B205" s="82"/>
      <c r="C205" s="59" t="s">
        <v>15</v>
      </c>
      <c r="D205" s="12">
        <f>D202</f>
        <v>119157</v>
      </c>
      <c r="E205" s="12">
        <f>E202</f>
        <v>119157</v>
      </c>
      <c r="F205" s="12">
        <f>F202</f>
        <v>28668.77</v>
      </c>
      <c r="G205" s="12">
        <f>G202</f>
        <v>28668.77</v>
      </c>
      <c r="H205" s="13" t="s">
        <v>173</v>
      </c>
      <c r="I205" s="14">
        <f t="shared" si="38"/>
        <v>0.24060000000000001</v>
      </c>
    </row>
    <row r="206" spans="1:9" x14ac:dyDescent="0.25">
      <c r="A206" s="6">
        <v>10</v>
      </c>
      <c r="B206" s="75" t="s">
        <v>107</v>
      </c>
      <c r="C206" s="76"/>
      <c r="D206" s="76"/>
      <c r="E206" s="76"/>
      <c r="F206" s="76"/>
      <c r="G206" s="76"/>
      <c r="H206" s="76"/>
      <c r="I206" s="77"/>
    </row>
    <row r="207" spans="1:9" ht="47.25" x14ac:dyDescent="0.25">
      <c r="A207" s="36"/>
      <c r="B207" s="59" t="s">
        <v>19</v>
      </c>
      <c r="C207" s="59" t="s">
        <v>13</v>
      </c>
      <c r="D207" s="12">
        <v>1358.16</v>
      </c>
      <c r="E207" s="12">
        <v>1346.51</v>
      </c>
      <c r="F207" s="12">
        <v>1110.1500000000001</v>
      </c>
      <c r="G207" s="12">
        <v>783.97</v>
      </c>
      <c r="H207" s="13" t="s">
        <v>173</v>
      </c>
      <c r="I207" s="14">
        <f>ROUND(G207/E207,4)</f>
        <v>0.58220000000000005</v>
      </c>
    </row>
    <row r="208" spans="1:9" ht="63" x14ac:dyDescent="0.25">
      <c r="A208" s="36"/>
      <c r="B208" s="59" t="s">
        <v>88</v>
      </c>
      <c r="C208" s="59" t="s">
        <v>13</v>
      </c>
      <c r="D208" s="12">
        <v>390</v>
      </c>
      <c r="E208" s="12">
        <v>195</v>
      </c>
      <c r="F208" s="12">
        <v>113.65</v>
      </c>
      <c r="G208" s="12">
        <v>113.57</v>
      </c>
      <c r="H208" s="13" t="s">
        <v>173</v>
      </c>
      <c r="I208" s="14">
        <f>ROUND(G208/E208,4)</f>
        <v>0.58240000000000003</v>
      </c>
    </row>
    <row r="209" spans="1:9" x14ac:dyDescent="0.25">
      <c r="A209" s="85"/>
      <c r="B209" s="81" t="s">
        <v>14</v>
      </c>
      <c r="C209" s="58" t="s">
        <v>16</v>
      </c>
      <c r="D209" s="15">
        <f>D210</f>
        <v>1748.16</v>
      </c>
      <c r="E209" s="15">
        <f>E210</f>
        <v>1541.51</v>
      </c>
      <c r="F209" s="15">
        <f>F210</f>
        <v>1223.8000000000002</v>
      </c>
      <c r="G209" s="15">
        <f>G210</f>
        <v>897.54</v>
      </c>
      <c r="H209" s="13" t="s">
        <v>173</v>
      </c>
      <c r="I209" s="14">
        <f>ROUND(G209/E209,4)</f>
        <v>0.58220000000000005</v>
      </c>
    </row>
    <row r="210" spans="1:9" s="4" customFormat="1" ht="31.5" x14ac:dyDescent="0.25">
      <c r="A210" s="86"/>
      <c r="B210" s="87"/>
      <c r="C210" s="59" t="s">
        <v>13</v>
      </c>
      <c r="D210" s="12">
        <f>D207+D208</f>
        <v>1748.16</v>
      </c>
      <c r="E210" s="12">
        <f>E207+E208</f>
        <v>1541.51</v>
      </c>
      <c r="F210" s="12">
        <f>F207+F208</f>
        <v>1223.8000000000002</v>
      </c>
      <c r="G210" s="12">
        <f>G207+G208</f>
        <v>897.54</v>
      </c>
      <c r="H210" s="13" t="s">
        <v>173</v>
      </c>
      <c r="I210" s="14">
        <f>ROUND(G210/E210,4)</f>
        <v>0.58220000000000005</v>
      </c>
    </row>
    <row r="211" spans="1:9" x14ac:dyDescent="0.25">
      <c r="A211" s="58">
        <v>11</v>
      </c>
      <c r="B211" s="75" t="s">
        <v>135</v>
      </c>
      <c r="C211" s="76"/>
      <c r="D211" s="76"/>
      <c r="E211" s="76"/>
      <c r="F211" s="76"/>
      <c r="G211" s="76"/>
      <c r="H211" s="76"/>
      <c r="I211" s="77"/>
    </row>
    <row r="212" spans="1:9" ht="47.25" x14ac:dyDescent="0.25">
      <c r="A212" s="59"/>
      <c r="B212" s="59" t="s">
        <v>213</v>
      </c>
      <c r="C212" s="59" t="s">
        <v>13</v>
      </c>
      <c r="D212" s="124">
        <v>100</v>
      </c>
      <c r="E212" s="124">
        <v>50</v>
      </c>
      <c r="F212" s="124">
        <v>0</v>
      </c>
      <c r="G212" s="124">
        <v>0</v>
      </c>
      <c r="H212" s="21" t="s">
        <v>173</v>
      </c>
      <c r="I212" s="14">
        <f>ROUND(G212/E212,4)</f>
        <v>0</v>
      </c>
    </row>
    <row r="213" spans="1:9" ht="47.25" x14ac:dyDescent="0.25">
      <c r="A213" s="58"/>
      <c r="B213" s="59" t="s">
        <v>111</v>
      </c>
      <c r="C213" s="59" t="s">
        <v>13</v>
      </c>
      <c r="D213" s="12">
        <v>1200</v>
      </c>
      <c r="E213" s="12">
        <v>1055</v>
      </c>
      <c r="F213" s="12">
        <v>50.1</v>
      </c>
      <c r="G213" s="12">
        <v>50.1</v>
      </c>
      <c r="H213" s="21" t="s">
        <v>173</v>
      </c>
      <c r="I213" s="14">
        <f t="shared" ref="I213:I216" si="39">ROUND(G213/E213,4)</f>
        <v>4.7500000000000001E-2</v>
      </c>
    </row>
    <row r="214" spans="1:9" ht="63" x14ac:dyDescent="0.25">
      <c r="A214" s="58"/>
      <c r="B214" s="59" t="s">
        <v>95</v>
      </c>
      <c r="C214" s="59" t="s">
        <v>13</v>
      </c>
      <c r="D214" s="12">
        <v>15860.6</v>
      </c>
      <c r="E214" s="12">
        <v>7930.3</v>
      </c>
      <c r="F214" s="12">
        <v>0</v>
      </c>
      <c r="G214" s="12">
        <v>0</v>
      </c>
      <c r="H214" s="21" t="s">
        <v>173</v>
      </c>
      <c r="I214" s="14">
        <f>ROUND(G214/E214,4)</f>
        <v>0</v>
      </c>
    </row>
    <row r="215" spans="1:9" x14ac:dyDescent="0.25">
      <c r="A215" s="106"/>
      <c r="B215" s="81" t="s">
        <v>14</v>
      </c>
      <c r="C215" s="58" t="s">
        <v>16</v>
      </c>
      <c r="D215" s="15">
        <f>D216</f>
        <v>17160.599999999999</v>
      </c>
      <c r="E215" s="15">
        <f t="shared" ref="E215:G215" si="40">E216</f>
        <v>9035.2999999999993</v>
      </c>
      <c r="F215" s="15">
        <f t="shared" si="40"/>
        <v>50.1</v>
      </c>
      <c r="G215" s="15">
        <f t="shared" si="40"/>
        <v>50.1</v>
      </c>
      <c r="H215" s="21" t="s">
        <v>173</v>
      </c>
      <c r="I215" s="14">
        <f t="shared" si="39"/>
        <v>5.4999999999999997E-3</v>
      </c>
    </row>
    <row r="216" spans="1:9" ht="31.5" x14ac:dyDescent="0.25">
      <c r="A216" s="107"/>
      <c r="B216" s="82"/>
      <c r="C216" s="59" t="s">
        <v>13</v>
      </c>
      <c r="D216" s="12">
        <f>D213+D212+D214</f>
        <v>17160.599999999999</v>
      </c>
      <c r="E216" s="12">
        <f t="shared" ref="E216:G216" si="41">E213+E212+E214</f>
        <v>9035.2999999999993</v>
      </c>
      <c r="F216" s="12">
        <f t="shared" si="41"/>
        <v>50.1</v>
      </c>
      <c r="G216" s="12">
        <f t="shared" si="41"/>
        <v>50.1</v>
      </c>
      <c r="H216" s="21" t="s">
        <v>173</v>
      </c>
      <c r="I216" s="14">
        <f t="shared" si="39"/>
        <v>5.4999999999999997E-3</v>
      </c>
    </row>
    <row r="217" spans="1:9" ht="15.75" customHeight="1" x14ac:dyDescent="0.25">
      <c r="A217" s="6">
        <v>12</v>
      </c>
      <c r="B217" s="72" t="s">
        <v>136</v>
      </c>
      <c r="C217" s="73"/>
      <c r="D217" s="73"/>
      <c r="E217" s="73"/>
      <c r="F217" s="73"/>
      <c r="G217" s="73"/>
      <c r="H217" s="73"/>
      <c r="I217" s="74"/>
    </row>
    <row r="218" spans="1:9" ht="15.75" customHeight="1" x14ac:dyDescent="0.25">
      <c r="A218" s="72" t="s">
        <v>70</v>
      </c>
      <c r="B218" s="73"/>
      <c r="C218" s="73"/>
      <c r="D218" s="73"/>
      <c r="E218" s="73"/>
      <c r="F218" s="73"/>
      <c r="G218" s="73"/>
      <c r="H218" s="73"/>
      <c r="I218" s="74"/>
    </row>
    <row r="219" spans="1:9" ht="63" x14ac:dyDescent="0.25">
      <c r="A219" s="6"/>
      <c r="B219" s="59" t="s">
        <v>22</v>
      </c>
      <c r="C219" s="59" t="s">
        <v>13</v>
      </c>
      <c r="D219" s="37">
        <f>68.7+47.7+97.6</f>
        <v>214</v>
      </c>
      <c r="E219" s="37">
        <f>34.35+23.85+48.8</f>
        <v>107</v>
      </c>
      <c r="F219" s="37">
        <v>5.7</v>
      </c>
      <c r="G219" s="37">
        <v>5.7</v>
      </c>
      <c r="H219" s="21" t="s">
        <v>173</v>
      </c>
      <c r="I219" s="14">
        <f>ROUND(G219/E219,4)</f>
        <v>5.33E-2</v>
      </c>
    </row>
    <row r="220" spans="1:9" ht="78.75" x14ac:dyDescent="0.25">
      <c r="A220" s="6"/>
      <c r="B220" s="59" t="s">
        <v>23</v>
      </c>
      <c r="C220" s="59" t="s">
        <v>13</v>
      </c>
      <c r="D220" s="37">
        <f>519.8+45</f>
        <v>564.79999999999995</v>
      </c>
      <c r="E220" s="37">
        <f>321.3+22.5</f>
        <v>343.8</v>
      </c>
      <c r="F220" s="37">
        <v>19.2</v>
      </c>
      <c r="G220" s="37">
        <v>19.2</v>
      </c>
      <c r="H220" s="21" t="s">
        <v>173</v>
      </c>
      <c r="I220" s="14">
        <f>ROUND(G220/E220,4)</f>
        <v>5.5800000000000002E-2</v>
      </c>
    </row>
    <row r="221" spans="1:9" ht="63" x14ac:dyDescent="0.25">
      <c r="A221" s="6"/>
      <c r="B221" s="59" t="s">
        <v>52</v>
      </c>
      <c r="C221" s="59" t="s">
        <v>13</v>
      </c>
      <c r="D221" s="37">
        <f>5.4+5</f>
        <v>10.4</v>
      </c>
      <c r="E221" s="37">
        <f>4.05+2.5</f>
        <v>6.55</v>
      </c>
      <c r="F221" s="37">
        <v>0</v>
      </c>
      <c r="G221" s="37">
        <v>0</v>
      </c>
      <c r="H221" s="21" t="s">
        <v>173</v>
      </c>
      <c r="I221" s="14">
        <f>ROUND(G221/E221,4)</f>
        <v>0</v>
      </c>
    </row>
    <row r="222" spans="1:9" ht="31.5" x14ac:dyDescent="0.25">
      <c r="A222" s="6"/>
      <c r="B222" s="58" t="s">
        <v>17</v>
      </c>
      <c r="C222" s="59" t="s">
        <v>13</v>
      </c>
      <c r="D222" s="15">
        <f>D219+D220+D221</f>
        <v>789.19999999999993</v>
      </c>
      <c r="E222" s="15">
        <f>E219+E220+E221</f>
        <v>457.35</v>
      </c>
      <c r="F222" s="15">
        <f>F219+F220+F221</f>
        <v>24.9</v>
      </c>
      <c r="G222" s="15">
        <f>G219+G220+G221</f>
        <v>24.9</v>
      </c>
      <c r="H222" s="21" t="s">
        <v>173</v>
      </c>
      <c r="I222" s="14">
        <f>ROUND(G222/E222,4)</f>
        <v>5.4399999999999997E-2</v>
      </c>
    </row>
    <row r="223" spans="1:9" ht="15.75" customHeight="1" x14ac:dyDescent="0.25">
      <c r="A223" s="72" t="s">
        <v>71</v>
      </c>
      <c r="B223" s="73"/>
      <c r="C223" s="73"/>
      <c r="D223" s="73"/>
      <c r="E223" s="73"/>
      <c r="F223" s="73"/>
      <c r="G223" s="73"/>
      <c r="H223" s="73"/>
      <c r="I223" s="74"/>
    </row>
    <row r="224" spans="1:9" ht="78.75" x14ac:dyDescent="0.25">
      <c r="A224" s="6"/>
      <c r="B224" s="59" t="s">
        <v>83</v>
      </c>
      <c r="C224" s="59" t="s">
        <v>13</v>
      </c>
      <c r="D224" s="37">
        <f>358.6+95.4</f>
        <v>454</v>
      </c>
      <c r="E224" s="37">
        <f>179.3+47.7</f>
        <v>227</v>
      </c>
      <c r="F224" s="37">
        <v>0</v>
      </c>
      <c r="G224" s="37">
        <v>0</v>
      </c>
      <c r="H224" s="21" t="s">
        <v>173</v>
      </c>
      <c r="I224" s="14">
        <f>ROUND(G224/E224,4)</f>
        <v>0</v>
      </c>
    </row>
    <row r="225" spans="1:9" ht="47.25" x14ac:dyDescent="0.25">
      <c r="A225" s="6"/>
      <c r="B225" s="59" t="s">
        <v>164</v>
      </c>
      <c r="C225" s="59" t="s">
        <v>13</v>
      </c>
      <c r="D225" s="37">
        <f>1.4</f>
        <v>1.4</v>
      </c>
      <c r="E225" s="37">
        <v>0.7</v>
      </c>
      <c r="F225" s="37">
        <v>0</v>
      </c>
      <c r="G225" s="37">
        <v>0</v>
      </c>
      <c r="H225" s="21" t="s">
        <v>173</v>
      </c>
      <c r="I225" s="14">
        <f>ROUND(G225/E225,4)</f>
        <v>0</v>
      </c>
    </row>
    <row r="226" spans="1:9" ht="31.5" x14ac:dyDescent="0.25">
      <c r="A226" s="6"/>
      <c r="B226" s="59" t="s">
        <v>57</v>
      </c>
      <c r="C226" s="59" t="s">
        <v>13</v>
      </c>
      <c r="D226" s="37">
        <f>20.7</f>
        <v>20.7</v>
      </c>
      <c r="E226" s="37">
        <f>20.7</f>
        <v>20.7</v>
      </c>
      <c r="F226" s="37">
        <v>0</v>
      </c>
      <c r="G226" s="37">
        <v>0</v>
      </c>
      <c r="H226" s="21" t="s">
        <v>173</v>
      </c>
      <c r="I226" s="14">
        <f>ROUND(G226/E226,4)</f>
        <v>0</v>
      </c>
    </row>
    <row r="227" spans="1:9" ht="63" x14ac:dyDescent="0.25">
      <c r="A227" s="6"/>
      <c r="B227" s="59" t="s">
        <v>157</v>
      </c>
      <c r="C227" s="59" t="s">
        <v>13</v>
      </c>
      <c r="D227" s="37">
        <v>150</v>
      </c>
      <c r="E227" s="37">
        <v>75</v>
      </c>
      <c r="F227" s="37">
        <v>4</v>
      </c>
      <c r="G227" s="37">
        <v>3.45</v>
      </c>
      <c r="H227" s="21" t="s">
        <v>173</v>
      </c>
      <c r="I227" s="14">
        <f>ROUND(G227/E227,4)</f>
        <v>4.5999999999999999E-2</v>
      </c>
    </row>
    <row r="228" spans="1:9" ht="31.5" x14ac:dyDescent="0.25">
      <c r="A228" s="6"/>
      <c r="B228" s="58" t="s">
        <v>17</v>
      </c>
      <c r="C228" s="58" t="s">
        <v>13</v>
      </c>
      <c r="D228" s="15">
        <f>D224+D225+D226+D227</f>
        <v>626.09999999999991</v>
      </c>
      <c r="E228" s="15">
        <f>E224+E225+E226+E227</f>
        <v>323.39999999999998</v>
      </c>
      <c r="F228" s="15">
        <f>F224+F225+F226+F227</f>
        <v>4</v>
      </c>
      <c r="G228" s="15">
        <f>G224+G225+G226+G227</f>
        <v>3.45</v>
      </c>
      <c r="H228" s="21" t="s">
        <v>173</v>
      </c>
      <c r="I228" s="14">
        <f>ROUND(G228/E228,4)</f>
        <v>1.0699999999999999E-2</v>
      </c>
    </row>
    <row r="229" spans="1:9" ht="15.75" customHeight="1" x14ac:dyDescent="0.25">
      <c r="A229" s="72" t="s">
        <v>169</v>
      </c>
      <c r="B229" s="73"/>
      <c r="C229" s="73"/>
      <c r="D229" s="73"/>
      <c r="E229" s="73"/>
      <c r="F229" s="73"/>
      <c r="G229" s="73"/>
      <c r="H229" s="73"/>
      <c r="I229" s="74"/>
    </row>
    <row r="230" spans="1:9" ht="78.75" x14ac:dyDescent="0.25">
      <c r="A230" s="6"/>
      <c r="B230" s="59" t="s">
        <v>97</v>
      </c>
      <c r="C230" s="59" t="s">
        <v>13</v>
      </c>
      <c r="D230" s="37">
        <v>20</v>
      </c>
      <c r="E230" s="37">
        <v>10</v>
      </c>
      <c r="F230" s="37">
        <v>0</v>
      </c>
      <c r="G230" s="37">
        <v>0</v>
      </c>
      <c r="H230" s="21" t="s">
        <v>173</v>
      </c>
      <c r="I230" s="14">
        <f>ROUND(G230/E230,4)</f>
        <v>0</v>
      </c>
    </row>
    <row r="231" spans="1:9" ht="78.75" x14ac:dyDescent="0.25">
      <c r="A231" s="6"/>
      <c r="B231" s="59" t="s">
        <v>98</v>
      </c>
      <c r="C231" s="59" t="s">
        <v>13</v>
      </c>
      <c r="D231" s="37">
        <v>27.6</v>
      </c>
      <c r="E231" s="37">
        <v>13.8</v>
      </c>
      <c r="F231" s="37">
        <v>0</v>
      </c>
      <c r="G231" s="37">
        <v>0</v>
      </c>
      <c r="H231" s="21" t="s">
        <v>173</v>
      </c>
      <c r="I231" s="14">
        <f>ROUND(G231/E231,4)</f>
        <v>0</v>
      </c>
    </row>
    <row r="232" spans="1:9" ht="31.5" x14ac:dyDescent="0.25">
      <c r="A232" s="6"/>
      <c r="B232" s="59" t="s">
        <v>17</v>
      </c>
      <c r="C232" s="59" t="s">
        <v>13</v>
      </c>
      <c r="D232" s="12">
        <f>D230+D231</f>
        <v>47.6</v>
      </c>
      <c r="E232" s="12">
        <f>E230+E231</f>
        <v>23.8</v>
      </c>
      <c r="F232" s="12">
        <f>F230+F231</f>
        <v>0</v>
      </c>
      <c r="G232" s="12">
        <f>G230+G231</f>
        <v>0</v>
      </c>
      <c r="H232" s="21" t="s">
        <v>173</v>
      </c>
      <c r="I232" s="14">
        <f>ROUND(G232/E232,4)</f>
        <v>0</v>
      </c>
    </row>
    <row r="233" spans="1:9" ht="31.5" x14ac:dyDescent="0.25">
      <c r="A233" s="6"/>
      <c r="B233" s="58" t="s">
        <v>14</v>
      </c>
      <c r="C233" s="58" t="s">
        <v>13</v>
      </c>
      <c r="D233" s="15">
        <f>D222+D228+D232</f>
        <v>1462.8999999999996</v>
      </c>
      <c r="E233" s="15">
        <f>E222+E228+E232</f>
        <v>804.55</v>
      </c>
      <c r="F233" s="15">
        <f>F222+F228+F232</f>
        <v>28.9</v>
      </c>
      <c r="G233" s="15">
        <f>G222+G228+G232</f>
        <v>28.349999999999998</v>
      </c>
      <c r="H233" s="21" t="s">
        <v>173</v>
      </c>
      <c r="I233" s="14">
        <f>ROUND(G233/E233,4)</f>
        <v>3.5200000000000002E-2</v>
      </c>
    </row>
    <row r="234" spans="1:9" x14ac:dyDescent="0.25">
      <c r="A234" s="6" t="s">
        <v>36</v>
      </c>
      <c r="B234" s="72" t="s">
        <v>137</v>
      </c>
      <c r="C234" s="73"/>
      <c r="D234" s="73"/>
      <c r="E234" s="73"/>
      <c r="F234" s="73"/>
      <c r="G234" s="73"/>
      <c r="H234" s="73"/>
      <c r="I234" s="74"/>
    </row>
    <row r="235" spans="1:9" ht="15.75" customHeight="1" x14ac:dyDescent="0.25">
      <c r="A235" s="72" t="s">
        <v>37</v>
      </c>
      <c r="B235" s="73"/>
      <c r="C235" s="73"/>
      <c r="D235" s="73"/>
      <c r="E235" s="73"/>
      <c r="F235" s="73"/>
      <c r="G235" s="73"/>
      <c r="H235" s="73"/>
      <c r="I235" s="74"/>
    </row>
    <row r="236" spans="1:9" ht="31.5" x14ac:dyDescent="0.25">
      <c r="A236" s="6"/>
      <c r="B236" s="35" t="s">
        <v>38</v>
      </c>
      <c r="C236" s="59" t="s">
        <v>13</v>
      </c>
      <c r="D236" s="38">
        <v>5989</v>
      </c>
      <c r="E236" s="38">
        <v>5988.5</v>
      </c>
      <c r="F236" s="38">
        <v>1794</v>
      </c>
      <c r="G236" s="38">
        <v>1491.34</v>
      </c>
      <c r="H236" s="21" t="s">
        <v>173</v>
      </c>
      <c r="I236" s="14">
        <f>ROUND(G236/E236,4)</f>
        <v>0.249</v>
      </c>
    </row>
    <row r="237" spans="1:9" ht="31.5" x14ac:dyDescent="0.25">
      <c r="A237" s="6"/>
      <c r="B237" s="35" t="s">
        <v>175</v>
      </c>
      <c r="C237" s="59" t="s">
        <v>13</v>
      </c>
      <c r="D237" s="38">
        <v>220</v>
      </c>
      <c r="E237" s="38">
        <v>110</v>
      </c>
      <c r="F237" s="38">
        <v>0</v>
      </c>
      <c r="G237" s="38">
        <v>0</v>
      </c>
      <c r="H237" s="39" t="s">
        <v>173</v>
      </c>
      <c r="I237" s="25">
        <f>ROUND(G237/E237,4)</f>
        <v>0</v>
      </c>
    </row>
    <row r="238" spans="1:9" ht="47.25" x14ac:dyDescent="0.25">
      <c r="A238" s="6"/>
      <c r="B238" s="35" t="s">
        <v>39</v>
      </c>
      <c r="C238" s="59" t="s">
        <v>13</v>
      </c>
      <c r="D238" s="38">
        <v>138383.29999999999</v>
      </c>
      <c r="E238" s="38">
        <v>138380.79999999999</v>
      </c>
      <c r="F238" s="38">
        <v>35445.93</v>
      </c>
      <c r="G238" s="38">
        <v>30219.29</v>
      </c>
      <c r="H238" s="21" t="s">
        <v>173</v>
      </c>
      <c r="I238" s="14">
        <f>ROUND(G238/E238,4)</f>
        <v>0.21840000000000001</v>
      </c>
    </row>
    <row r="239" spans="1:9" ht="78.75" x14ac:dyDescent="0.25">
      <c r="A239" s="6"/>
      <c r="B239" s="35" t="s">
        <v>25</v>
      </c>
      <c r="C239" s="59" t="s">
        <v>13</v>
      </c>
      <c r="D239" s="38">
        <v>2450</v>
      </c>
      <c r="E239" s="38">
        <v>1225</v>
      </c>
      <c r="F239" s="38">
        <v>163.07</v>
      </c>
      <c r="G239" s="38">
        <v>163.07</v>
      </c>
      <c r="H239" s="21" t="s">
        <v>173</v>
      </c>
      <c r="I239" s="14">
        <f t="shared" ref="I239:I257" si="42">ROUND(G239/E239,4)</f>
        <v>0.1331</v>
      </c>
    </row>
    <row r="240" spans="1:9" ht="94.5" x14ac:dyDescent="0.25">
      <c r="A240" s="6"/>
      <c r="B240" s="35" t="s">
        <v>125</v>
      </c>
      <c r="C240" s="59" t="s">
        <v>13</v>
      </c>
      <c r="D240" s="38">
        <v>100</v>
      </c>
      <c r="E240" s="38">
        <v>100</v>
      </c>
      <c r="F240" s="38">
        <v>0</v>
      </c>
      <c r="G240" s="38">
        <v>0</v>
      </c>
      <c r="H240" s="40" t="s">
        <v>173</v>
      </c>
      <c r="I240" s="27">
        <f t="shared" si="42"/>
        <v>0</v>
      </c>
    </row>
    <row r="241" spans="1:9" ht="63" x14ac:dyDescent="0.25">
      <c r="A241" s="6"/>
      <c r="B241" s="35" t="s">
        <v>138</v>
      </c>
      <c r="C241" s="59" t="s">
        <v>15</v>
      </c>
      <c r="D241" s="38">
        <v>7.43</v>
      </c>
      <c r="E241" s="38">
        <v>7.43</v>
      </c>
      <c r="F241" s="38">
        <v>0</v>
      </c>
      <c r="G241" s="38">
        <v>0</v>
      </c>
      <c r="H241" s="41" t="s">
        <v>173</v>
      </c>
      <c r="I241" s="23">
        <f t="shared" si="42"/>
        <v>0</v>
      </c>
    </row>
    <row r="242" spans="1:9" ht="31.5" x14ac:dyDescent="0.25">
      <c r="A242" s="6"/>
      <c r="B242" s="59" t="s">
        <v>58</v>
      </c>
      <c r="C242" s="59" t="s">
        <v>13</v>
      </c>
      <c r="D242" s="12">
        <v>5019.3999999999996</v>
      </c>
      <c r="E242" s="12">
        <v>3769.4</v>
      </c>
      <c r="F242" s="12">
        <v>412.2</v>
      </c>
      <c r="G242" s="12">
        <v>405.21</v>
      </c>
      <c r="H242" s="39" t="s">
        <v>173</v>
      </c>
      <c r="I242" s="25">
        <f t="shared" si="42"/>
        <v>0.1075</v>
      </c>
    </row>
    <row r="243" spans="1:9" ht="47.25" x14ac:dyDescent="0.25">
      <c r="A243" s="6"/>
      <c r="B243" s="35" t="s">
        <v>59</v>
      </c>
      <c r="C243" s="59" t="s">
        <v>13</v>
      </c>
      <c r="D243" s="38">
        <v>750</v>
      </c>
      <c r="E243" s="38">
        <v>425</v>
      </c>
      <c r="F243" s="38">
        <v>20</v>
      </c>
      <c r="G243" s="38">
        <v>9.4</v>
      </c>
      <c r="H243" s="39" t="s">
        <v>173</v>
      </c>
      <c r="I243" s="25">
        <f t="shared" si="42"/>
        <v>2.2100000000000002E-2</v>
      </c>
    </row>
    <row r="244" spans="1:9" ht="31.5" x14ac:dyDescent="0.25">
      <c r="A244" s="6"/>
      <c r="B244" s="35" t="s">
        <v>60</v>
      </c>
      <c r="C244" s="59" t="s">
        <v>13</v>
      </c>
      <c r="D244" s="38">
        <v>240</v>
      </c>
      <c r="E244" s="38">
        <v>120</v>
      </c>
      <c r="F244" s="38">
        <v>0</v>
      </c>
      <c r="G244" s="38">
        <v>0</v>
      </c>
      <c r="H244" s="39" t="s">
        <v>173</v>
      </c>
      <c r="I244" s="25">
        <f t="shared" si="42"/>
        <v>0</v>
      </c>
    </row>
    <row r="245" spans="1:9" ht="126" x14ac:dyDescent="0.25">
      <c r="A245" s="6"/>
      <c r="B245" s="59" t="s">
        <v>176</v>
      </c>
      <c r="C245" s="59" t="s">
        <v>15</v>
      </c>
      <c r="D245" s="12">
        <v>10632.66</v>
      </c>
      <c r="E245" s="12">
        <v>10632.66</v>
      </c>
      <c r="F245" s="38">
        <v>2348.11</v>
      </c>
      <c r="G245" s="38">
        <v>1786.62</v>
      </c>
      <c r="H245" s="39" t="s">
        <v>173</v>
      </c>
      <c r="I245" s="25">
        <f t="shared" si="42"/>
        <v>0.16800000000000001</v>
      </c>
    </row>
    <row r="246" spans="1:9" ht="126" x14ac:dyDescent="0.25">
      <c r="A246" s="6"/>
      <c r="B246" s="59" t="s">
        <v>177</v>
      </c>
      <c r="C246" s="59" t="s">
        <v>15</v>
      </c>
      <c r="D246" s="12">
        <v>1559.9</v>
      </c>
      <c r="E246" s="12">
        <v>1559.9</v>
      </c>
      <c r="F246" s="38">
        <v>478.62</v>
      </c>
      <c r="G246" s="38">
        <v>339.82</v>
      </c>
      <c r="H246" s="21" t="s">
        <v>173</v>
      </c>
      <c r="I246" s="14">
        <f t="shared" si="42"/>
        <v>0.21779999999999999</v>
      </c>
    </row>
    <row r="247" spans="1:9" ht="141.75" x14ac:dyDescent="0.25">
      <c r="A247" s="6"/>
      <c r="B247" s="59" t="s">
        <v>178</v>
      </c>
      <c r="C247" s="59" t="s">
        <v>15</v>
      </c>
      <c r="D247" s="12">
        <v>6</v>
      </c>
      <c r="E247" s="12">
        <v>6</v>
      </c>
      <c r="F247" s="38">
        <v>0</v>
      </c>
      <c r="G247" s="38">
        <v>0</v>
      </c>
      <c r="H247" s="21" t="s">
        <v>173</v>
      </c>
      <c r="I247" s="27">
        <f t="shared" si="42"/>
        <v>0</v>
      </c>
    </row>
    <row r="248" spans="1:9" ht="47.25" x14ac:dyDescent="0.25">
      <c r="A248" s="6"/>
      <c r="B248" s="59" t="s">
        <v>179</v>
      </c>
      <c r="C248" s="59" t="s">
        <v>15</v>
      </c>
      <c r="D248" s="12">
        <v>898.48</v>
      </c>
      <c r="E248" s="12">
        <v>898.48</v>
      </c>
      <c r="F248" s="38">
        <v>263.5</v>
      </c>
      <c r="G248" s="38">
        <v>203.29</v>
      </c>
      <c r="H248" s="21" t="s">
        <v>173</v>
      </c>
      <c r="I248" s="27">
        <f t="shared" si="42"/>
        <v>0.2263</v>
      </c>
    </row>
    <row r="249" spans="1:9" ht="63" x14ac:dyDescent="0.25">
      <c r="A249" s="6"/>
      <c r="B249" s="59" t="s">
        <v>180</v>
      </c>
      <c r="C249" s="59" t="s">
        <v>15</v>
      </c>
      <c r="D249" s="12">
        <v>3037.9</v>
      </c>
      <c r="E249" s="12">
        <v>3037.9</v>
      </c>
      <c r="F249" s="38">
        <v>550.63</v>
      </c>
      <c r="G249" s="38">
        <v>367.13</v>
      </c>
      <c r="H249" s="39" t="s">
        <v>173</v>
      </c>
      <c r="I249" s="23">
        <f t="shared" si="42"/>
        <v>0.1208</v>
      </c>
    </row>
    <row r="250" spans="1:9" ht="47.25" x14ac:dyDescent="0.25">
      <c r="A250" s="6"/>
      <c r="B250" s="59" t="s">
        <v>163</v>
      </c>
      <c r="C250" s="59" t="s">
        <v>15</v>
      </c>
      <c r="D250" s="12">
        <v>3813.6</v>
      </c>
      <c r="E250" s="12">
        <v>3813.67</v>
      </c>
      <c r="F250" s="12">
        <v>687</v>
      </c>
      <c r="G250" s="12">
        <v>576.99</v>
      </c>
      <c r="H250" s="39" t="s">
        <v>173</v>
      </c>
      <c r="I250" s="25">
        <f t="shared" si="42"/>
        <v>0.15129999999999999</v>
      </c>
    </row>
    <row r="251" spans="1:9" ht="63" x14ac:dyDescent="0.25">
      <c r="A251" s="6"/>
      <c r="B251" s="35" t="s">
        <v>40</v>
      </c>
      <c r="C251" s="59" t="s">
        <v>13</v>
      </c>
      <c r="D251" s="38">
        <v>791</v>
      </c>
      <c r="E251" s="38">
        <v>791</v>
      </c>
      <c r="F251" s="38">
        <v>0</v>
      </c>
      <c r="G251" s="38">
        <v>0</v>
      </c>
      <c r="H251" s="21" t="s">
        <v>173</v>
      </c>
      <c r="I251" s="14">
        <f t="shared" si="42"/>
        <v>0</v>
      </c>
    </row>
    <row r="252" spans="1:9" ht="63" x14ac:dyDescent="0.25">
      <c r="A252" s="6"/>
      <c r="B252" s="35" t="s">
        <v>181</v>
      </c>
      <c r="C252" s="59" t="s">
        <v>13</v>
      </c>
      <c r="D252" s="38">
        <v>568</v>
      </c>
      <c r="E252" s="38">
        <v>42.5</v>
      </c>
      <c r="F252" s="38">
        <v>0</v>
      </c>
      <c r="G252" s="38">
        <v>0</v>
      </c>
      <c r="H252" s="21" t="s">
        <v>173</v>
      </c>
      <c r="I252" s="14">
        <f t="shared" si="42"/>
        <v>0</v>
      </c>
    </row>
    <row r="253" spans="1:9" ht="78.75" x14ac:dyDescent="0.25">
      <c r="A253" s="6"/>
      <c r="B253" s="35" t="s">
        <v>190</v>
      </c>
      <c r="C253" s="59" t="s">
        <v>13</v>
      </c>
      <c r="D253" s="38">
        <v>521.9</v>
      </c>
      <c r="E253" s="38">
        <v>260.95</v>
      </c>
      <c r="F253" s="38">
        <v>0</v>
      </c>
      <c r="G253" s="38">
        <v>0</v>
      </c>
      <c r="H253" s="21" t="s">
        <v>173</v>
      </c>
      <c r="I253" s="14">
        <f t="shared" si="42"/>
        <v>0</v>
      </c>
    </row>
    <row r="254" spans="1:9" ht="63" x14ac:dyDescent="0.25">
      <c r="A254" s="6"/>
      <c r="B254" s="35" t="s">
        <v>157</v>
      </c>
      <c r="C254" s="59" t="s">
        <v>13</v>
      </c>
      <c r="D254" s="38">
        <v>220</v>
      </c>
      <c r="E254" s="38">
        <v>110</v>
      </c>
      <c r="F254" s="38">
        <v>0</v>
      </c>
      <c r="G254" s="38">
        <v>0</v>
      </c>
      <c r="H254" s="21" t="s">
        <v>173</v>
      </c>
      <c r="I254" s="14">
        <f t="shared" si="42"/>
        <v>0</v>
      </c>
    </row>
    <row r="255" spans="1:9" ht="78.75" x14ac:dyDescent="0.25">
      <c r="A255" s="6"/>
      <c r="B255" s="35" t="s">
        <v>182</v>
      </c>
      <c r="C255" s="59" t="s">
        <v>13</v>
      </c>
      <c r="D255" s="38">
        <v>128</v>
      </c>
      <c r="E255" s="38">
        <v>64</v>
      </c>
      <c r="F255" s="38">
        <v>0</v>
      </c>
      <c r="G255" s="38">
        <v>0</v>
      </c>
      <c r="H255" s="39" t="s">
        <v>173</v>
      </c>
      <c r="I255" s="25">
        <f t="shared" si="42"/>
        <v>0</v>
      </c>
    </row>
    <row r="256" spans="1:9" ht="63" x14ac:dyDescent="0.25">
      <c r="A256" s="6"/>
      <c r="B256" s="35" t="s">
        <v>72</v>
      </c>
      <c r="C256" s="59" t="s">
        <v>15</v>
      </c>
      <c r="D256" s="38">
        <v>29.62</v>
      </c>
      <c r="E256" s="38">
        <v>29.62</v>
      </c>
      <c r="F256" s="38">
        <v>4.1900000000000004</v>
      </c>
      <c r="G256" s="38">
        <v>0</v>
      </c>
      <c r="H256" s="39" t="s">
        <v>173</v>
      </c>
      <c r="I256" s="25">
        <f t="shared" si="42"/>
        <v>0</v>
      </c>
    </row>
    <row r="257" spans="1:10" ht="94.5" x14ac:dyDescent="0.25">
      <c r="A257" s="6"/>
      <c r="B257" s="35" t="s">
        <v>245</v>
      </c>
      <c r="C257" s="59" t="s">
        <v>15</v>
      </c>
      <c r="D257" s="38">
        <v>159.1</v>
      </c>
      <c r="E257" s="38">
        <v>159.1</v>
      </c>
      <c r="F257" s="38">
        <v>35</v>
      </c>
      <c r="G257" s="38">
        <v>12.08</v>
      </c>
      <c r="H257" s="39" t="s">
        <v>173</v>
      </c>
      <c r="I257" s="25">
        <f t="shared" si="42"/>
        <v>7.5899999999999995E-2</v>
      </c>
    </row>
    <row r="258" spans="1:10" ht="126" x14ac:dyDescent="0.25">
      <c r="A258" s="6"/>
      <c r="B258" s="35" t="s">
        <v>41</v>
      </c>
      <c r="C258" s="59" t="s">
        <v>15</v>
      </c>
      <c r="D258" s="38">
        <v>11.99</v>
      </c>
      <c r="E258" s="38">
        <v>11.99</v>
      </c>
      <c r="F258" s="38">
        <v>6.44</v>
      </c>
      <c r="G258" s="38">
        <v>1.29</v>
      </c>
      <c r="H258" s="21" t="s">
        <v>173</v>
      </c>
      <c r="I258" s="25">
        <f t="shared" ref="I258:I260" si="43">ROUND(G258/E258,4)</f>
        <v>0.1076</v>
      </c>
    </row>
    <row r="259" spans="1:10" ht="126" x14ac:dyDescent="0.25">
      <c r="A259" s="6"/>
      <c r="B259" s="35" t="s">
        <v>183</v>
      </c>
      <c r="C259" s="59" t="s">
        <v>13</v>
      </c>
      <c r="D259" s="38">
        <v>100</v>
      </c>
      <c r="E259" s="38">
        <v>50</v>
      </c>
      <c r="F259" s="38">
        <v>0</v>
      </c>
      <c r="G259" s="38">
        <v>0</v>
      </c>
      <c r="H259" s="21" t="s">
        <v>173</v>
      </c>
      <c r="I259" s="25">
        <f t="shared" si="43"/>
        <v>0</v>
      </c>
    </row>
    <row r="260" spans="1:10" ht="63" x14ac:dyDescent="0.25">
      <c r="A260" s="6"/>
      <c r="B260" s="35" t="s">
        <v>184</v>
      </c>
      <c r="C260" s="59" t="s">
        <v>47</v>
      </c>
      <c r="D260" s="38">
        <v>1405.83</v>
      </c>
      <c r="E260" s="38">
        <v>1405.83</v>
      </c>
      <c r="F260" s="38">
        <v>403.33</v>
      </c>
      <c r="G260" s="38">
        <v>57.63</v>
      </c>
      <c r="H260" s="21" t="s">
        <v>173</v>
      </c>
      <c r="I260" s="25">
        <f t="shared" si="43"/>
        <v>4.1000000000000002E-2</v>
      </c>
    </row>
    <row r="261" spans="1:10" ht="78.75" x14ac:dyDescent="0.25">
      <c r="A261" s="6"/>
      <c r="B261" s="35" t="s">
        <v>185</v>
      </c>
      <c r="C261" s="59" t="s">
        <v>13</v>
      </c>
      <c r="D261" s="38">
        <v>220</v>
      </c>
      <c r="E261" s="38">
        <v>110</v>
      </c>
      <c r="F261" s="38">
        <v>0</v>
      </c>
      <c r="G261" s="38">
        <v>0</v>
      </c>
      <c r="H261" s="21" t="s">
        <v>173</v>
      </c>
      <c r="I261" s="25">
        <f>ROUND(G261/E261,4)</f>
        <v>0</v>
      </c>
    </row>
    <row r="262" spans="1:10" ht="63" x14ac:dyDescent="0.25">
      <c r="A262" s="6"/>
      <c r="B262" s="35" t="s">
        <v>186</v>
      </c>
      <c r="C262" s="59" t="s">
        <v>13</v>
      </c>
      <c r="D262" s="38">
        <v>11.24</v>
      </c>
      <c r="E262" s="38">
        <v>11.24</v>
      </c>
      <c r="F262" s="38">
        <v>1.59</v>
      </c>
      <c r="G262" s="38">
        <v>1.59</v>
      </c>
      <c r="H262" s="21" t="s">
        <v>173</v>
      </c>
      <c r="I262" s="25">
        <f t="shared" ref="I262:I270" si="44">ROUND(G262/E262,4)</f>
        <v>0.14149999999999999</v>
      </c>
    </row>
    <row r="263" spans="1:10" ht="78.75" x14ac:dyDescent="0.25">
      <c r="A263" s="6"/>
      <c r="B263" s="35" t="s">
        <v>162</v>
      </c>
      <c r="C263" s="59" t="s">
        <v>15</v>
      </c>
      <c r="D263" s="38">
        <v>38.520000000000003</v>
      </c>
      <c r="E263" s="38">
        <v>38.520000000000003</v>
      </c>
      <c r="F263" s="38">
        <v>0</v>
      </c>
      <c r="G263" s="38">
        <v>0</v>
      </c>
      <c r="H263" s="21" t="s">
        <v>173</v>
      </c>
      <c r="I263" s="25">
        <f t="shared" si="44"/>
        <v>0</v>
      </c>
    </row>
    <row r="264" spans="1:10" ht="63" x14ac:dyDescent="0.25">
      <c r="A264" s="6"/>
      <c r="B264" s="35" t="s">
        <v>187</v>
      </c>
      <c r="C264" s="59" t="s">
        <v>13</v>
      </c>
      <c r="D264" s="38">
        <v>2644</v>
      </c>
      <c r="E264" s="38">
        <v>2644</v>
      </c>
      <c r="F264" s="38">
        <v>0</v>
      </c>
      <c r="G264" s="38">
        <v>0</v>
      </c>
      <c r="H264" s="39" t="s">
        <v>173</v>
      </c>
      <c r="I264" s="25">
        <f t="shared" si="44"/>
        <v>0</v>
      </c>
    </row>
    <row r="265" spans="1:10" ht="126" x14ac:dyDescent="0.25">
      <c r="A265" s="6"/>
      <c r="B265" s="59" t="s">
        <v>188</v>
      </c>
      <c r="C265" s="59" t="s">
        <v>13</v>
      </c>
      <c r="D265" s="12">
        <v>3651</v>
      </c>
      <c r="E265" s="12">
        <v>3651</v>
      </c>
      <c r="F265" s="12">
        <v>1645.9</v>
      </c>
      <c r="G265" s="12">
        <v>1560.22</v>
      </c>
      <c r="H265" s="21" t="s">
        <v>173</v>
      </c>
      <c r="I265" s="14">
        <f t="shared" si="44"/>
        <v>0.42730000000000001</v>
      </c>
    </row>
    <row r="266" spans="1:10" ht="31.5" x14ac:dyDescent="0.25">
      <c r="A266" s="69"/>
      <c r="B266" s="32" t="s">
        <v>189</v>
      </c>
      <c r="C266" s="60" t="s">
        <v>13</v>
      </c>
      <c r="D266" s="19">
        <v>3000</v>
      </c>
      <c r="E266" s="19">
        <v>1500</v>
      </c>
      <c r="F266" s="19">
        <v>0</v>
      </c>
      <c r="G266" s="19">
        <v>0</v>
      </c>
      <c r="H266" s="39" t="s">
        <v>173</v>
      </c>
      <c r="I266" s="25">
        <f t="shared" si="44"/>
        <v>0</v>
      </c>
    </row>
    <row r="267" spans="1:10" x14ac:dyDescent="0.25">
      <c r="A267" s="84"/>
      <c r="B267" s="78" t="s">
        <v>17</v>
      </c>
      <c r="C267" s="58" t="s">
        <v>16</v>
      </c>
      <c r="D267" s="15">
        <f>D268+D269+D270</f>
        <v>186607.87</v>
      </c>
      <c r="E267" s="15">
        <f>E268+E269+E270</f>
        <v>180954.49</v>
      </c>
      <c r="F267" s="15">
        <f>F268+F269+F270</f>
        <v>44259.51</v>
      </c>
      <c r="G267" s="15">
        <f>G268+G269+G270</f>
        <v>37194.97</v>
      </c>
      <c r="H267" s="39" t="s">
        <v>173</v>
      </c>
      <c r="I267" s="25">
        <f t="shared" si="44"/>
        <v>0.20549999999999999</v>
      </c>
    </row>
    <row r="268" spans="1:10" ht="31.5" x14ac:dyDescent="0.25">
      <c r="A268" s="84"/>
      <c r="B268" s="79"/>
      <c r="C268" s="59" t="s">
        <v>13</v>
      </c>
      <c r="D268" s="12">
        <f>D266+D265+D264+D262+D261+D259+D255+D254+D252+D251+D244+D243+D242+D240+D239+D238+D237+D236+D253</f>
        <v>165006.84</v>
      </c>
      <c r="E268" s="12">
        <f t="shared" ref="E268:G268" si="45">E266+E265+E264+E262+E261+E259+E255+E254+E252+E251+E244+E243+E242+E240+E239+E238+E237+E236+E253</f>
        <v>159353.39000000001</v>
      </c>
      <c r="F268" s="12">
        <f t="shared" si="45"/>
        <v>39482.69</v>
      </c>
      <c r="G268" s="12">
        <f t="shared" si="45"/>
        <v>33850.120000000003</v>
      </c>
      <c r="H268" s="39" t="s">
        <v>173</v>
      </c>
      <c r="I268" s="25">
        <f t="shared" si="44"/>
        <v>0.21240000000000001</v>
      </c>
    </row>
    <row r="269" spans="1:10" ht="31.5" x14ac:dyDescent="0.25">
      <c r="A269" s="84"/>
      <c r="B269" s="79"/>
      <c r="C269" s="59" t="s">
        <v>47</v>
      </c>
      <c r="D269" s="12">
        <f>D260</f>
        <v>1405.83</v>
      </c>
      <c r="E269" s="12">
        <f t="shared" ref="E269:G269" si="46">E260</f>
        <v>1405.83</v>
      </c>
      <c r="F269" s="12">
        <f t="shared" si="46"/>
        <v>403.33</v>
      </c>
      <c r="G269" s="12">
        <f t="shared" si="46"/>
        <v>57.63</v>
      </c>
      <c r="H269" s="39" t="s">
        <v>173</v>
      </c>
      <c r="I269" s="25">
        <f t="shared" si="44"/>
        <v>4.1000000000000002E-2</v>
      </c>
    </row>
    <row r="270" spans="1:10" ht="47.25" x14ac:dyDescent="0.25">
      <c r="A270" s="84"/>
      <c r="B270" s="79"/>
      <c r="C270" s="59" t="s">
        <v>15</v>
      </c>
      <c r="D270" s="12">
        <f>D263+D258+D256+D250+D249+D248+D247+D246+D245+D241+D257</f>
        <v>20195.199999999997</v>
      </c>
      <c r="E270" s="12">
        <f t="shared" ref="E270:G270" si="47">E263+E258+E256+E250+E249+E248+E247+E246+E245+E241+E257</f>
        <v>20195.269999999997</v>
      </c>
      <c r="F270" s="12">
        <f t="shared" si="47"/>
        <v>4373.49</v>
      </c>
      <c r="G270" s="12">
        <f t="shared" si="47"/>
        <v>3287.22</v>
      </c>
      <c r="H270" s="21" t="s">
        <v>173</v>
      </c>
      <c r="I270" s="14">
        <f t="shared" si="44"/>
        <v>0.1628</v>
      </c>
      <c r="J270" s="1" t="s">
        <v>46</v>
      </c>
    </row>
    <row r="271" spans="1:10" x14ac:dyDescent="0.25">
      <c r="A271" s="72" t="s">
        <v>42</v>
      </c>
      <c r="B271" s="73"/>
      <c r="C271" s="73"/>
      <c r="D271" s="73"/>
      <c r="E271" s="73"/>
      <c r="F271" s="73"/>
      <c r="G271" s="73"/>
      <c r="H271" s="73"/>
      <c r="I271" s="74"/>
    </row>
    <row r="272" spans="1:10" ht="78.75" x14ac:dyDescent="0.25">
      <c r="A272" s="6"/>
      <c r="B272" s="35" t="s">
        <v>25</v>
      </c>
      <c r="C272" s="59" t="s">
        <v>13</v>
      </c>
      <c r="D272" s="12">
        <f>3.7+50+1000+1000+215</f>
        <v>2268.6999999999998</v>
      </c>
      <c r="E272" s="12">
        <f>0+36.5+500+500+107.5</f>
        <v>1144</v>
      </c>
      <c r="F272" s="12">
        <f>23.3</f>
        <v>23.3</v>
      </c>
      <c r="G272" s="12">
        <v>23.3</v>
      </c>
      <c r="H272" s="21" t="s">
        <v>173</v>
      </c>
      <c r="I272" s="14">
        <v>0</v>
      </c>
    </row>
    <row r="273" spans="1:9" ht="31.5" x14ac:dyDescent="0.25">
      <c r="A273" s="6"/>
      <c r="B273" s="59" t="s">
        <v>43</v>
      </c>
      <c r="C273" s="59" t="s">
        <v>13</v>
      </c>
      <c r="D273" s="12">
        <v>5909.5</v>
      </c>
      <c r="E273" s="12">
        <v>5875.85</v>
      </c>
      <c r="F273" s="12">
        <v>1400.4</v>
      </c>
      <c r="G273" s="12">
        <v>1269.79</v>
      </c>
      <c r="H273" s="21" t="s">
        <v>173</v>
      </c>
      <c r="I273" s="14">
        <f t="shared" ref="I273:I308" si="48">ROUND(G273/E273,4)</f>
        <v>0.21609999999999999</v>
      </c>
    </row>
    <row r="274" spans="1:9" ht="31.5" x14ac:dyDescent="0.25">
      <c r="A274" s="6"/>
      <c r="B274" s="59" t="s">
        <v>147</v>
      </c>
      <c r="C274" s="59" t="s">
        <v>13</v>
      </c>
      <c r="D274" s="12">
        <v>9565</v>
      </c>
      <c r="E274" s="12">
        <v>9565</v>
      </c>
      <c r="F274" s="12">
        <v>1607.7</v>
      </c>
      <c r="G274" s="12">
        <v>1607.7</v>
      </c>
      <c r="H274" s="21" t="s">
        <v>173</v>
      </c>
      <c r="I274" s="14">
        <f t="shared" si="48"/>
        <v>0.1681</v>
      </c>
    </row>
    <row r="275" spans="1:9" ht="63" x14ac:dyDescent="0.25">
      <c r="A275" s="6"/>
      <c r="B275" s="59" t="s">
        <v>44</v>
      </c>
      <c r="C275" s="59" t="s">
        <v>13</v>
      </c>
      <c r="D275" s="12">
        <v>77703.100000000006</v>
      </c>
      <c r="E275" s="12">
        <v>74953.2</v>
      </c>
      <c r="F275" s="12">
        <v>23420</v>
      </c>
      <c r="G275" s="12">
        <v>23420</v>
      </c>
      <c r="H275" s="21" t="s">
        <v>173</v>
      </c>
      <c r="I275" s="14">
        <f t="shared" si="48"/>
        <v>0.3125</v>
      </c>
    </row>
    <row r="276" spans="1:9" ht="47.25" x14ac:dyDescent="0.25">
      <c r="A276" s="6"/>
      <c r="B276" s="59" t="s">
        <v>199</v>
      </c>
      <c r="C276" s="59" t="s">
        <v>13</v>
      </c>
      <c r="D276" s="12">
        <v>123346.37</v>
      </c>
      <c r="E276" s="12">
        <v>117424.07</v>
      </c>
      <c r="F276" s="12">
        <v>31169.93</v>
      </c>
      <c r="G276" s="12">
        <v>27564.22</v>
      </c>
      <c r="H276" s="21" t="s">
        <v>173</v>
      </c>
      <c r="I276" s="14">
        <f t="shared" si="48"/>
        <v>0.23469999999999999</v>
      </c>
    </row>
    <row r="277" spans="1:9" ht="157.5" x14ac:dyDescent="0.25">
      <c r="A277" s="6"/>
      <c r="B277" s="59" t="s">
        <v>200</v>
      </c>
      <c r="C277" s="59" t="s">
        <v>15</v>
      </c>
      <c r="D277" s="12">
        <v>221.1</v>
      </c>
      <c r="E277" s="12">
        <v>221.1</v>
      </c>
      <c r="F277" s="12">
        <v>86.3</v>
      </c>
      <c r="G277" s="12">
        <v>86.3</v>
      </c>
      <c r="H277" s="21" t="s">
        <v>173</v>
      </c>
      <c r="I277" s="14">
        <f t="shared" si="48"/>
        <v>0.39029999999999998</v>
      </c>
    </row>
    <row r="278" spans="1:9" ht="78.75" x14ac:dyDescent="0.25">
      <c r="A278" s="6"/>
      <c r="B278" s="59" t="s">
        <v>87</v>
      </c>
      <c r="C278" s="59" t="s">
        <v>47</v>
      </c>
      <c r="D278" s="12">
        <v>30</v>
      </c>
      <c r="E278" s="12">
        <v>30</v>
      </c>
      <c r="F278" s="12">
        <v>3.86</v>
      </c>
      <c r="G278" s="12">
        <v>0</v>
      </c>
      <c r="H278" s="21" t="s">
        <v>173</v>
      </c>
      <c r="I278" s="14">
        <f t="shared" si="48"/>
        <v>0</v>
      </c>
    </row>
    <row r="279" spans="1:9" ht="94.5" x14ac:dyDescent="0.25">
      <c r="A279" s="6"/>
      <c r="B279" s="59" t="s">
        <v>93</v>
      </c>
      <c r="C279" s="59" t="s">
        <v>15</v>
      </c>
      <c r="D279" s="12">
        <v>97</v>
      </c>
      <c r="E279" s="12">
        <v>97</v>
      </c>
      <c r="F279" s="12">
        <v>24.3</v>
      </c>
      <c r="G279" s="12">
        <v>24.3</v>
      </c>
      <c r="H279" s="21" t="s">
        <v>173</v>
      </c>
      <c r="I279" s="14">
        <f t="shared" si="48"/>
        <v>0.2505</v>
      </c>
    </row>
    <row r="280" spans="1:9" ht="31.5" x14ac:dyDescent="0.25">
      <c r="A280" s="6"/>
      <c r="B280" s="59" t="s">
        <v>124</v>
      </c>
      <c r="C280" s="59" t="s">
        <v>13</v>
      </c>
      <c r="D280" s="12">
        <v>19096.599999999999</v>
      </c>
      <c r="E280" s="12">
        <v>18160.849999999999</v>
      </c>
      <c r="F280" s="12">
        <v>4498.6899999999996</v>
      </c>
      <c r="G280" s="12">
        <v>4337.91</v>
      </c>
      <c r="H280" s="21" t="s">
        <v>173</v>
      </c>
      <c r="I280" s="14">
        <f t="shared" si="48"/>
        <v>0.2389</v>
      </c>
    </row>
    <row r="281" spans="1:9" ht="31.5" x14ac:dyDescent="0.25">
      <c r="A281" s="6"/>
      <c r="B281" s="59" t="s">
        <v>139</v>
      </c>
      <c r="C281" s="59" t="s">
        <v>47</v>
      </c>
      <c r="D281" s="12">
        <v>3414.81</v>
      </c>
      <c r="E281" s="12">
        <v>3414.81</v>
      </c>
      <c r="F281" s="12">
        <v>587.89</v>
      </c>
      <c r="G281" s="12">
        <v>475.19</v>
      </c>
      <c r="H281" s="21" t="s">
        <v>173</v>
      </c>
      <c r="I281" s="14">
        <f t="shared" si="48"/>
        <v>0.13919999999999999</v>
      </c>
    </row>
    <row r="282" spans="1:9" ht="31.5" x14ac:dyDescent="0.25">
      <c r="A282" s="6"/>
      <c r="B282" s="59" t="s">
        <v>58</v>
      </c>
      <c r="C282" s="59" t="s">
        <v>13</v>
      </c>
      <c r="D282" s="12">
        <v>4000</v>
      </c>
      <c r="E282" s="12">
        <v>2000</v>
      </c>
      <c r="F282" s="12">
        <v>694.18</v>
      </c>
      <c r="G282" s="12">
        <v>491.63</v>
      </c>
      <c r="H282" s="21" t="s">
        <v>173</v>
      </c>
      <c r="I282" s="14">
        <f t="shared" si="48"/>
        <v>0.24579999999999999</v>
      </c>
    </row>
    <row r="283" spans="1:9" x14ac:dyDescent="0.25">
      <c r="A283" s="84"/>
      <c r="B283" s="78" t="s">
        <v>17</v>
      </c>
      <c r="C283" s="58" t="s">
        <v>16</v>
      </c>
      <c r="D283" s="15">
        <f>D284+D285+D286</f>
        <v>245652.18000000002</v>
      </c>
      <c r="E283" s="15">
        <f>E284+E285+E286</f>
        <v>232885.88</v>
      </c>
      <c r="F283" s="15">
        <f>F284+F285+F286</f>
        <v>63516.55</v>
      </c>
      <c r="G283" s="15">
        <f>G284+G285+G286</f>
        <v>59300.340000000004</v>
      </c>
      <c r="H283" s="21" t="s">
        <v>173</v>
      </c>
      <c r="I283" s="14">
        <f t="shared" si="48"/>
        <v>0.25459999999999999</v>
      </c>
    </row>
    <row r="284" spans="1:9" ht="31.5" x14ac:dyDescent="0.25">
      <c r="A284" s="84"/>
      <c r="B284" s="79"/>
      <c r="C284" s="59" t="s">
        <v>13</v>
      </c>
      <c r="D284" s="12">
        <f>D282+D280+D276+D275+D274+D273+D272</f>
        <v>241889.27000000002</v>
      </c>
      <c r="E284" s="12">
        <f t="shared" ref="E284:G284" si="49">E282+E280+E276+E275+E274+E273+E272</f>
        <v>229122.97</v>
      </c>
      <c r="F284" s="12">
        <f>F282+F280+F276+F275+F274+F273+F272</f>
        <v>62814.200000000004</v>
      </c>
      <c r="G284" s="12">
        <f t="shared" si="49"/>
        <v>58714.55</v>
      </c>
      <c r="H284" s="21" t="s">
        <v>173</v>
      </c>
      <c r="I284" s="14">
        <f t="shared" si="48"/>
        <v>0.25629999999999997</v>
      </c>
    </row>
    <row r="285" spans="1:9" ht="31.5" x14ac:dyDescent="0.25">
      <c r="A285" s="84"/>
      <c r="B285" s="79"/>
      <c r="C285" s="59" t="s">
        <v>47</v>
      </c>
      <c r="D285" s="12">
        <f>D278+D281</f>
        <v>3444.81</v>
      </c>
      <c r="E285" s="12">
        <f t="shared" ref="E285:G285" si="50">E278+E281</f>
        <v>3444.81</v>
      </c>
      <c r="F285" s="12">
        <f>F278+F281</f>
        <v>591.75</v>
      </c>
      <c r="G285" s="12">
        <f t="shared" si="50"/>
        <v>475.19</v>
      </c>
      <c r="H285" s="21" t="s">
        <v>173</v>
      </c>
      <c r="I285" s="14">
        <f t="shared" si="48"/>
        <v>0.13789999999999999</v>
      </c>
    </row>
    <row r="286" spans="1:9" ht="47.25" x14ac:dyDescent="0.25">
      <c r="A286" s="84"/>
      <c r="B286" s="79"/>
      <c r="C286" s="59" t="s">
        <v>15</v>
      </c>
      <c r="D286" s="12">
        <f>D277+D279</f>
        <v>318.10000000000002</v>
      </c>
      <c r="E286" s="12">
        <f t="shared" ref="E286:G286" si="51">E277+E279</f>
        <v>318.10000000000002</v>
      </c>
      <c r="F286" s="12">
        <f>F277+F279</f>
        <v>110.6</v>
      </c>
      <c r="G286" s="12">
        <f t="shared" si="51"/>
        <v>110.6</v>
      </c>
      <c r="H286" s="21" t="s">
        <v>173</v>
      </c>
      <c r="I286" s="14">
        <f t="shared" si="48"/>
        <v>0.34770000000000001</v>
      </c>
    </row>
    <row r="287" spans="1:9" x14ac:dyDescent="0.25">
      <c r="A287" s="6"/>
      <c r="B287" s="72" t="s">
        <v>73</v>
      </c>
      <c r="C287" s="73"/>
      <c r="D287" s="73"/>
      <c r="E287" s="73"/>
      <c r="F287" s="73"/>
      <c r="G287" s="73"/>
      <c r="H287" s="73"/>
      <c r="I287" s="74"/>
    </row>
    <row r="288" spans="1:9" ht="31.5" x14ac:dyDescent="0.25">
      <c r="A288" s="6"/>
      <c r="B288" s="59" t="s">
        <v>201</v>
      </c>
      <c r="C288" s="59" t="s">
        <v>13</v>
      </c>
      <c r="D288" s="12">
        <v>388</v>
      </c>
      <c r="E288" s="12">
        <v>328</v>
      </c>
      <c r="F288" s="12">
        <v>240.7</v>
      </c>
      <c r="G288" s="12">
        <v>212.64</v>
      </c>
      <c r="H288" s="21" t="s">
        <v>173</v>
      </c>
      <c r="I288" s="14">
        <f t="shared" si="48"/>
        <v>0.64829999999999999</v>
      </c>
    </row>
    <row r="289" spans="1:9" x14ac:dyDescent="0.25">
      <c r="A289" s="84"/>
      <c r="B289" s="78" t="s">
        <v>17</v>
      </c>
      <c r="C289" s="58" t="s">
        <v>16</v>
      </c>
      <c r="D289" s="15">
        <f>D288</f>
        <v>388</v>
      </c>
      <c r="E289" s="15">
        <f>E290</f>
        <v>328</v>
      </c>
      <c r="F289" s="15">
        <f>F290</f>
        <v>240.7</v>
      </c>
      <c r="G289" s="15">
        <f>G290</f>
        <v>212.64</v>
      </c>
      <c r="H289" s="42" t="s">
        <v>173</v>
      </c>
      <c r="I289" s="17">
        <f t="shared" si="48"/>
        <v>0.64829999999999999</v>
      </c>
    </row>
    <row r="290" spans="1:9" ht="31.5" x14ac:dyDescent="0.25">
      <c r="A290" s="84"/>
      <c r="B290" s="79"/>
      <c r="C290" s="59" t="s">
        <v>13</v>
      </c>
      <c r="D290" s="12">
        <f>D288</f>
        <v>388</v>
      </c>
      <c r="E290" s="12">
        <f>E288</f>
        <v>328</v>
      </c>
      <c r="F290" s="12">
        <f>F288</f>
        <v>240.7</v>
      </c>
      <c r="G290" s="12">
        <f>G288</f>
        <v>212.64</v>
      </c>
      <c r="H290" s="21" t="s">
        <v>173</v>
      </c>
      <c r="I290" s="14">
        <f t="shared" si="48"/>
        <v>0.64829999999999999</v>
      </c>
    </row>
    <row r="291" spans="1:9" s="2" customFormat="1" x14ac:dyDescent="0.25">
      <c r="A291" s="84"/>
      <c r="B291" s="78" t="s">
        <v>14</v>
      </c>
      <c r="C291" s="30" t="s">
        <v>16</v>
      </c>
      <c r="D291" s="31">
        <f>D292+D293+D294</f>
        <v>432648.05</v>
      </c>
      <c r="E291" s="31">
        <f>E292+E293+E294</f>
        <v>414168.37</v>
      </c>
      <c r="F291" s="31">
        <f>F292+F293+F294</f>
        <v>108016.76</v>
      </c>
      <c r="G291" s="31">
        <f>G292+G293+G294</f>
        <v>96707.950000000012</v>
      </c>
      <c r="H291" s="21" t="s">
        <v>173</v>
      </c>
      <c r="I291" s="14">
        <f t="shared" si="48"/>
        <v>0.23350000000000001</v>
      </c>
    </row>
    <row r="292" spans="1:9" s="2" customFormat="1" ht="31.5" x14ac:dyDescent="0.25">
      <c r="A292" s="79"/>
      <c r="B292" s="79"/>
      <c r="C292" s="59" t="s">
        <v>13</v>
      </c>
      <c r="D292" s="12">
        <f>D290+D284+D268</f>
        <v>407284.11</v>
      </c>
      <c r="E292" s="12">
        <f>E290+E284+E268</f>
        <v>388804.36</v>
      </c>
      <c r="F292" s="12">
        <f>F290+F284+F268</f>
        <v>102537.59</v>
      </c>
      <c r="G292" s="12">
        <f>G290+G284+G268</f>
        <v>92777.31</v>
      </c>
      <c r="H292" s="21" t="s">
        <v>173</v>
      </c>
      <c r="I292" s="14">
        <f t="shared" si="48"/>
        <v>0.23860000000000001</v>
      </c>
    </row>
    <row r="293" spans="1:9" s="2" customFormat="1" ht="47.25" x14ac:dyDescent="0.25">
      <c r="A293" s="79"/>
      <c r="B293" s="79"/>
      <c r="C293" s="59" t="s">
        <v>15</v>
      </c>
      <c r="D293" s="12">
        <f>D286+D270</f>
        <v>20513.299999999996</v>
      </c>
      <c r="E293" s="12">
        <f>E286+E270</f>
        <v>20513.369999999995</v>
      </c>
      <c r="F293" s="12">
        <f>F286+F270</f>
        <v>4484.09</v>
      </c>
      <c r="G293" s="12">
        <f>G286+G270</f>
        <v>3397.8199999999997</v>
      </c>
      <c r="H293" s="21" t="s">
        <v>173</v>
      </c>
      <c r="I293" s="14">
        <f t="shared" si="48"/>
        <v>0.1656</v>
      </c>
    </row>
    <row r="294" spans="1:9" s="2" customFormat="1" ht="31.5" x14ac:dyDescent="0.25">
      <c r="A294" s="80"/>
      <c r="B294" s="80"/>
      <c r="C294" s="59" t="s">
        <v>47</v>
      </c>
      <c r="D294" s="28">
        <f>D285+D269</f>
        <v>4850.6399999999994</v>
      </c>
      <c r="E294" s="28">
        <f>E285+E269</f>
        <v>4850.6399999999994</v>
      </c>
      <c r="F294" s="28">
        <f>F285+F269</f>
        <v>995.07999999999993</v>
      </c>
      <c r="G294" s="28">
        <f>G285+G269</f>
        <v>532.82000000000005</v>
      </c>
      <c r="H294" s="21" t="s">
        <v>173</v>
      </c>
      <c r="I294" s="14">
        <f t="shared" si="48"/>
        <v>0.10979999999999999</v>
      </c>
    </row>
    <row r="295" spans="1:9" x14ac:dyDescent="0.25">
      <c r="A295" s="58">
        <v>14</v>
      </c>
      <c r="B295" s="75" t="s">
        <v>140</v>
      </c>
      <c r="C295" s="76"/>
      <c r="D295" s="76"/>
      <c r="E295" s="76"/>
      <c r="F295" s="76"/>
      <c r="G295" s="76"/>
      <c r="H295" s="76"/>
      <c r="I295" s="77"/>
    </row>
    <row r="296" spans="1:9" ht="63" x14ac:dyDescent="0.25">
      <c r="A296" s="29"/>
      <c r="B296" s="59" t="s">
        <v>20</v>
      </c>
      <c r="C296" s="59" t="s">
        <v>13</v>
      </c>
      <c r="D296" s="12">
        <f>192.2+351.3</f>
        <v>543.5</v>
      </c>
      <c r="E296" s="12">
        <f>165.3+175.65</f>
        <v>340.95000000000005</v>
      </c>
      <c r="F296" s="12">
        <f>79.02+31.54</f>
        <v>110.56</v>
      </c>
      <c r="G296" s="12">
        <f>79.02+31.54</f>
        <v>110.56</v>
      </c>
      <c r="H296" s="21" t="s">
        <v>173</v>
      </c>
      <c r="I296" s="14">
        <f t="shared" si="48"/>
        <v>0.32429999999999998</v>
      </c>
    </row>
    <row r="297" spans="1:9" ht="47.25" x14ac:dyDescent="0.25">
      <c r="A297" s="29"/>
      <c r="B297" s="59" t="s">
        <v>21</v>
      </c>
      <c r="C297" s="59" t="s">
        <v>13</v>
      </c>
      <c r="D297" s="12">
        <f>13.5+958.1+42.4</f>
        <v>1014</v>
      </c>
      <c r="E297" s="12">
        <f>6.75+479.05+21.2</f>
        <v>507</v>
      </c>
      <c r="F297" s="12">
        <v>0</v>
      </c>
      <c r="G297" s="12">
        <v>0</v>
      </c>
      <c r="H297" s="21" t="s">
        <v>173</v>
      </c>
      <c r="I297" s="14">
        <f t="shared" si="48"/>
        <v>0</v>
      </c>
    </row>
    <row r="298" spans="1:9" ht="47.25" x14ac:dyDescent="0.25">
      <c r="A298" s="65"/>
      <c r="B298" s="60" t="s">
        <v>74</v>
      </c>
      <c r="C298" s="59" t="s">
        <v>13</v>
      </c>
      <c r="D298" s="12">
        <f>88.2+266+177.7</f>
        <v>531.9</v>
      </c>
      <c r="E298" s="12">
        <f>44.1+133+88.85</f>
        <v>265.95</v>
      </c>
      <c r="F298" s="12">
        <v>16.920000000000002</v>
      </c>
      <c r="G298" s="12">
        <v>16.920000000000002</v>
      </c>
      <c r="H298" s="21" t="s">
        <v>173</v>
      </c>
      <c r="I298" s="14">
        <f t="shared" si="48"/>
        <v>6.3600000000000004E-2</v>
      </c>
    </row>
    <row r="299" spans="1:9" ht="78.75" x14ac:dyDescent="0.25">
      <c r="A299" s="65"/>
      <c r="B299" s="60" t="s">
        <v>75</v>
      </c>
      <c r="C299" s="59" t="s">
        <v>13</v>
      </c>
      <c r="D299" s="12">
        <f>27+12</f>
        <v>39</v>
      </c>
      <c r="E299" s="12">
        <f>20.25+6</f>
        <v>26.25</v>
      </c>
      <c r="F299" s="12">
        <v>0</v>
      </c>
      <c r="G299" s="12">
        <v>0</v>
      </c>
      <c r="H299" s="21" t="s">
        <v>173</v>
      </c>
      <c r="I299" s="14">
        <f t="shared" si="48"/>
        <v>0</v>
      </c>
    </row>
    <row r="300" spans="1:9" ht="47.25" x14ac:dyDescent="0.25">
      <c r="A300" s="65"/>
      <c r="B300" s="60" t="s">
        <v>102</v>
      </c>
      <c r="C300" s="59" t="s">
        <v>13</v>
      </c>
      <c r="D300" s="12">
        <v>60</v>
      </c>
      <c r="E300" s="12">
        <v>60</v>
      </c>
      <c r="F300" s="12">
        <v>10</v>
      </c>
      <c r="G300" s="12">
        <v>10</v>
      </c>
      <c r="H300" s="21" t="s">
        <v>173</v>
      </c>
      <c r="I300" s="14">
        <f t="shared" si="48"/>
        <v>0.16669999999999999</v>
      </c>
    </row>
    <row r="301" spans="1:9" ht="94.5" x14ac:dyDescent="0.25">
      <c r="A301" s="65"/>
      <c r="B301" s="60" t="s">
        <v>141</v>
      </c>
      <c r="C301" s="59" t="s">
        <v>15</v>
      </c>
      <c r="D301" s="12">
        <v>815.24</v>
      </c>
      <c r="E301" s="12">
        <v>815.24</v>
      </c>
      <c r="F301" s="12">
        <v>0</v>
      </c>
      <c r="G301" s="12">
        <v>0</v>
      </c>
      <c r="H301" s="21" t="s">
        <v>173</v>
      </c>
      <c r="I301" s="14">
        <f t="shared" si="48"/>
        <v>0</v>
      </c>
    </row>
    <row r="302" spans="1:9" ht="94.5" x14ac:dyDescent="0.25">
      <c r="A302" s="65"/>
      <c r="B302" s="60" t="s">
        <v>142</v>
      </c>
      <c r="C302" s="59" t="s">
        <v>13</v>
      </c>
      <c r="D302" s="12">
        <v>309.23</v>
      </c>
      <c r="E302" s="12">
        <v>309.23</v>
      </c>
      <c r="F302" s="12">
        <v>0</v>
      </c>
      <c r="G302" s="12">
        <v>0</v>
      </c>
      <c r="H302" s="21" t="s">
        <v>173</v>
      </c>
      <c r="I302" s="14">
        <f t="shared" si="48"/>
        <v>0</v>
      </c>
    </row>
    <row r="303" spans="1:9" ht="94.5" x14ac:dyDescent="0.25">
      <c r="A303" s="65"/>
      <c r="B303" s="60" t="s">
        <v>209</v>
      </c>
      <c r="C303" s="59" t="s">
        <v>15</v>
      </c>
      <c r="D303" s="12">
        <v>891.88</v>
      </c>
      <c r="E303" s="12">
        <v>891.88</v>
      </c>
      <c r="F303" s="12">
        <v>0</v>
      </c>
      <c r="G303" s="12">
        <v>0</v>
      </c>
      <c r="H303" s="21" t="s">
        <v>173</v>
      </c>
      <c r="I303" s="14">
        <f t="shared" si="48"/>
        <v>0</v>
      </c>
    </row>
    <row r="304" spans="1:9" ht="126" x14ac:dyDescent="0.25">
      <c r="A304" s="65"/>
      <c r="B304" s="60" t="s">
        <v>170</v>
      </c>
      <c r="C304" s="59" t="s">
        <v>13</v>
      </c>
      <c r="D304" s="12">
        <v>11200</v>
      </c>
      <c r="E304" s="12">
        <v>8045.25</v>
      </c>
      <c r="F304" s="12">
        <v>1797.5</v>
      </c>
      <c r="G304" s="12">
        <v>1477.5</v>
      </c>
      <c r="H304" s="21" t="s">
        <v>173</v>
      </c>
      <c r="I304" s="14">
        <f t="shared" si="48"/>
        <v>0.18360000000000001</v>
      </c>
    </row>
    <row r="305" spans="1:9" ht="47.25" x14ac:dyDescent="0.25">
      <c r="A305" s="65"/>
      <c r="B305" s="60" t="s">
        <v>246</v>
      </c>
      <c r="C305" s="59" t="s">
        <v>15</v>
      </c>
      <c r="D305" s="12">
        <v>100</v>
      </c>
      <c r="E305" s="12">
        <v>100</v>
      </c>
      <c r="F305" s="12">
        <v>0</v>
      </c>
      <c r="G305" s="12">
        <v>0</v>
      </c>
      <c r="H305" s="21" t="s">
        <v>173</v>
      </c>
      <c r="I305" s="14">
        <f>ROUND(G305/E305,4)</f>
        <v>0</v>
      </c>
    </row>
    <row r="306" spans="1:9" x14ac:dyDescent="0.25">
      <c r="A306" s="106"/>
      <c r="B306" s="81" t="s">
        <v>14</v>
      </c>
      <c r="C306" s="58" t="s">
        <v>16</v>
      </c>
      <c r="D306" s="15">
        <f>D307+D308</f>
        <v>15504.75</v>
      </c>
      <c r="E306" s="15">
        <f>E307+E308</f>
        <v>11361.75</v>
      </c>
      <c r="F306" s="15">
        <f>F307+F308</f>
        <v>1934.98</v>
      </c>
      <c r="G306" s="15">
        <f>G307+G308</f>
        <v>1614.98</v>
      </c>
      <c r="H306" s="42" t="s">
        <v>173</v>
      </c>
      <c r="I306" s="17">
        <f t="shared" si="48"/>
        <v>0.1421</v>
      </c>
    </row>
    <row r="307" spans="1:9" ht="31.5" x14ac:dyDescent="0.25">
      <c r="A307" s="107"/>
      <c r="B307" s="82"/>
      <c r="C307" s="59" t="s">
        <v>13</v>
      </c>
      <c r="D307" s="12">
        <f>D296+D297+D298+D299+D300+D302+D304</f>
        <v>13697.630000000001</v>
      </c>
      <c r="E307" s="12">
        <f>E296+E297+E298+E299+E300+E302+E304</f>
        <v>9554.630000000001</v>
      </c>
      <c r="F307" s="12">
        <f>F296+F297+F298+F299+F300+F302+F304</f>
        <v>1934.98</v>
      </c>
      <c r="G307" s="12">
        <f>G296+G297+G298+G299+G300+G302+G304</f>
        <v>1614.98</v>
      </c>
      <c r="H307" s="21" t="s">
        <v>173</v>
      </c>
      <c r="I307" s="14">
        <f t="shared" si="48"/>
        <v>0.16900000000000001</v>
      </c>
    </row>
    <row r="308" spans="1:9" ht="47.25" x14ac:dyDescent="0.25">
      <c r="A308" s="66"/>
      <c r="B308" s="83"/>
      <c r="C308" s="59" t="s">
        <v>15</v>
      </c>
      <c r="D308" s="12">
        <f>D301+D303+D305</f>
        <v>1807.12</v>
      </c>
      <c r="E308" s="12">
        <f>E301+E303+E305</f>
        <v>1807.12</v>
      </c>
      <c r="F308" s="12">
        <f>F301+F303+F305</f>
        <v>0</v>
      </c>
      <c r="G308" s="12">
        <f>G301+G303+G305</f>
        <v>0</v>
      </c>
      <c r="H308" s="21" t="s">
        <v>173</v>
      </c>
      <c r="I308" s="14">
        <f t="shared" si="48"/>
        <v>0</v>
      </c>
    </row>
    <row r="309" spans="1:9" ht="15.75" customHeight="1" x14ac:dyDescent="0.25">
      <c r="A309" s="58">
        <v>16</v>
      </c>
      <c r="B309" s="75" t="s">
        <v>143</v>
      </c>
      <c r="C309" s="76"/>
      <c r="D309" s="76"/>
      <c r="E309" s="76"/>
      <c r="F309" s="76"/>
      <c r="G309" s="76"/>
      <c r="H309" s="76"/>
      <c r="I309" s="77"/>
    </row>
    <row r="310" spans="1:9" ht="15.75" customHeight="1" x14ac:dyDescent="0.25">
      <c r="A310" s="72" t="s">
        <v>76</v>
      </c>
      <c r="B310" s="73"/>
      <c r="C310" s="73"/>
      <c r="D310" s="73"/>
      <c r="E310" s="73"/>
      <c r="F310" s="73"/>
      <c r="G310" s="73"/>
      <c r="H310" s="73"/>
      <c r="I310" s="74"/>
    </row>
    <row r="311" spans="1:9" ht="63" x14ac:dyDescent="0.25">
      <c r="A311" s="33"/>
      <c r="B311" s="34" t="s">
        <v>77</v>
      </c>
      <c r="C311" s="59" t="s">
        <v>13</v>
      </c>
      <c r="D311" s="43">
        <v>3200</v>
      </c>
      <c r="E311" s="44">
        <v>1600</v>
      </c>
      <c r="F311" s="43">
        <v>11.4</v>
      </c>
      <c r="G311" s="43">
        <v>11.34</v>
      </c>
      <c r="H311" s="21" t="s">
        <v>173</v>
      </c>
      <c r="I311" s="14">
        <f>ROUND(G311/E311,4)</f>
        <v>7.1000000000000004E-3</v>
      </c>
    </row>
    <row r="312" spans="1:9" ht="63" x14ac:dyDescent="0.25">
      <c r="A312" s="33"/>
      <c r="B312" s="34" t="s">
        <v>78</v>
      </c>
      <c r="C312" s="59" t="s">
        <v>13</v>
      </c>
      <c r="D312" s="43">
        <v>8060</v>
      </c>
      <c r="E312" s="44">
        <v>8060</v>
      </c>
      <c r="F312" s="43">
        <v>730</v>
      </c>
      <c r="G312" s="43">
        <v>513.29999999999995</v>
      </c>
      <c r="H312" s="21" t="s">
        <v>173</v>
      </c>
      <c r="I312" s="14">
        <f t="shared" ref="I312:I332" si="52">ROUND(G312/E312,4)</f>
        <v>6.3700000000000007E-2</v>
      </c>
    </row>
    <row r="313" spans="1:9" ht="63" x14ac:dyDescent="0.25">
      <c r="A313" s="33"/>
      <c r="B313" s="34" t="s">
        <v>82</v>
      </c>
      <c r="C313" s="59" t="s">
        <v>13</v>
      </c>
      <c r="D313" s="43">
        <v>464</v>
      </c>
      <c r="E313" s="44">
        <v>232</v>
      </c>
      <c r="F313" s="43">
        <v>0</v>
      </c>
      <c r="G313" s="43">
        <v>0</v>
      </c>
      <c r="H313" s="21" t="s">
        <v>173</v>
      </c>
      <c r="I313" s="14">
        <f t="shared" si="52"/>
        <v>0</v>
      </c>
    </row>
    <row r="314" spans="1:9" ht="63" x14ac:dyDescent="0.25">
      <c r="A314" s="33"/>
      <c r="B314" s="34" t="s">
        <v>81</v>
      </c>
      <c r="C314" s="59" t="s">
        <v>13</v>
      </c>
      <c r="D314" s="43">
        <v>500</v>
      </c>
      <c r="E314" s="44">
        <v>250</v>
      </c>
      <c r="F314" s="43">
        <v>0</v>
      </c>
      <c r="G314" s="43">
        <v>0</v>
      </c>
      <c r="H314" s="21" t="s">
        <v>173</v>
      </c>
      <c r="I314" s="14">
        <f t="shared" si="52"/>
        <v>0</v>
      </c>
    </row>
    <row r="315" spans="1:9" ht="31.5" x14ac:dyDescent="0.25">
      <c r="A315" s="33"/>
      <c r="B315" s="34" t="s">
        <v>144</v>
      </c>
      <c r="C315" s="59" t="s">
        <v>13</v>
      </c>
      <c r="D315" s="43">
        <v>1000</v>
      </c>
      <c r="E315" s="44">
        <v>1000</v>
      </c>
      <c r="F315" s="43">
        <v>0</v>
      </c>
      <c r="G315" s="43">
        <v>0</v>
      </c>
      <c r="H315" s="21" t="s">
        <v>173</v>
      </c>
      <c r="I315" s="14">
        <f t="shared" si="52"/>
        <v>0</v>
      </c>
    </row>
    <row r="316" spans="1:9" ht="63" x14ac:dyDescent="0.25">
      <c r="A316" s="33"/>
      <c r="B316" s="34" t="s">
        <v>80</v>
      </c>
      <c r="C316" s="59" t="s">
        <v>15</v>
      </c>
      <c r="D316" s="43">
        <v>1370.61</v>
      </c>
      <c r="E316" s="43">
        <v>1370.61</v>
      </c>
      <c r="F316" s="43">
        <v>267.16000000000003</v>
      </c>
      <c r="G316" s="43">
        <v>267.16000000000003</v>
      </c>
      <c r="H316" s="21" t="s">
        <v>173</v>
      </c>
      <c r="I316" s="14">
        <f t="shared" si="52"/>
        <v>0.19489999999999999</v>
      </c>
    </row>
    <row r="317" spans="1:9" ht="47.25" x14ac:dyDescent="0.25">
      <c r="A317" s="33"/>
      <c r="B317" s="34" t="s">
        <v>115</v>
      </c>
      <c r="C317" s="59" t="s">
        <v>13</v>
      </c>
      <c r="D317" s="43">
        <v>2146</v>
      </c>
      <c r="E317" s="44">
        <v>2146</v>
      </c>
      <c r="F317" s="43">
        <v>654.5</v>
      </c>
      <c r="G317" s="43">
        <v>654.41</v>
      </c>
      <c r="H317" s="21" t="s">
        <v>173</v>
      </c>
      <c r="I317" s="14">
        <f t="shared" si="52"/>
        <v>0.3049</v>
      </c>
    </row>
    <row r="318" spans="1:9" ht="47.25" x14ac:dyDescent="0.25">
      <c r="A318" s="6"/>
      <c r="B318" s="45" t="s">
        <v>89</v>
      </c>
      <c r="C318" s="59" t="s">
        <v>13</v>
      </c>
      <c r="D318" s="43">
        <v>600</v>
      </c>
      <c r="E318" s="43">
        <v>500</v>
      </c>
      <c r="F318" s="44">
        <v>5.4</v>
      </c>
      <c r="G318" s="43">
        <v>5.4</v>
      </c>
      <c r="H318" s="21" t="s">
        <v>173</v>
      </c>
      <c r="I318" s="14">
        <f t="shared" si="52"/>
        <v>1.0800000000000001E-2</v>
      </c>
    </row>
    <row r="319" spans="1:9" ht="63" x14ac:dyDescent="0.25">
      <c r="A319" s="6"/>
      <c r="B319" s="35" t="s">
        <v>90</v>
      </c>
      <c r="C319" s="59" t="s">
        <v>13</v>
      </c>
      <c r="D319" s="43">
        <v>2340</v>
      </c>
      <c r="E319" s="44">
        <v>2340</v>
      </c>
      <c r="F319" s="43">
        <v>379</v>
      </c>
      <c r="G319" s="43">
        <v>362.83</v>
      </c>
      <c r="H319" s="21" t="s">
        <v>173</v>
      </c>
      <c r="I319" s="14">
        <f t="shared" si="52"/>
        <v>0.15509999999999999</v>
      </c>
    </row>
    <row r="320" spans="1:9" ht="63" x14ac:dyDescent="0.25">
      <c r="A320" s="69"/>
      <c r="B320" s="46" t="s">
        <v>161</v>
      </c>
      <c r="C320" s="59" t="s">
        <v>13</v>
      </c>
      <c r="D320" s="43">
        <v>4039.2</v>
      </c>
      <c r="E320" s="44">
        <v>2339.6</v>
      </c>
      <c r="F320" s="43">
        <v>115</v>
      </c>
      <c r="G320" s="43">
        <v>115</v>
      </c>
      <c r="H320" s="21" t="s">
        <v>173</v>
      </c>
      <c r="I320" s="14">
        <f t="shared" si="52"/>
        <v>4.9200000000000001E-2</v>
      </c>
    </row>
    <row r="321" spans="1:9" ht="126" x14ac:dyDescent="0.25">
      <c r="A321" s="69"/>
      <c r="B321" s="46" t="s">
        <v>247</v>
      </c>
      <c r="C321" s="59" t="s">
        <v>15</v>
      </c>
      <c r="D321" s="47">
        <v>500</v>
      </c>
      <c r="E321" s="47">
        <v>500</v>
      </c>
      <c r="F321" s="44">
        <v>0</v>
      </c>
      <c r="G321" s="43">
        <v>0</v>
      </c>
      <c r="H321" s="21" t="s">
        <v>173</v>
      </c>
      <c r="I321" s="14">
        <f t="shared" si="52"/>
        <v>0</v>
      </c>
    </row>
    <row r="322" spans="1:9" ht="94.5" x14ac:dyDescent="0.25">
      <c r="A322" s="69"/>
      <c r="B322" s="46" t="s">
        <v>248</v>
      </c>
      <c r="C322" s="59" t="s">
        <v>15</v>
      </c>
      <c r="D322" s="47">
        <v>1000</v>
      </c>
      <c r="E322" s="47">
        <v>1000</v>
      </c>
      <c r="F322" s="44">
        <v>0</v>
      </c>
      <c r="G322" s="43">
        <v>0</v>
      </c>
      <c r="H322" s="21" t="s">
        <v>173</v>
      </c>
      <c r="I322" s="14">
        <f t="shared" si="52"/>
        <v>0</v>
      </c>
    </row>
    <row r="323" spans="1:9" ht="110.25" x14ac:dyDescent="0.25">
      <c r="A323" s="69"/>
      <c r="B323" s="46" t="s">
        <v>249</v>
      </c>
      <c r="C323" s="59" t="s">
        <v>13</v>
      </c>
      <c r="D323" s="48">
        <v>799.52</v>
      </c>
      <c r="E323" s="48">
        <v>799.52</v>
      </c>
      <c r="F323" s="43">
        <v>0</v>
      </c>
      <c r="G323" s="43">
        <v>0</v>
      </c>
      <c r="H323" s="21" t="s">
        <v>173</v>
      </c>
      <c r="I323" s="14">
        <f t="shared" si="52"/>
        <v>0</v>
      </c>
    </row>
    <row r="324" spans="1:9" ht="78.75" x14ac:dyDescent="0.25">
      <c r="A324" s="69"/>
      <c r="B324" s="46" t="s">
        <v>250</v>
      </c>
      <c r="C324" s="59" t="s">
        <v>13</v>
      </c>
      <c r="D324" s="48">
        <v>1152.82</v>
      </c>
      <c r="E324" s="48">
        <v>1152.82</v>
      </c>
      <c r="F324" s="43">
        <v>0</v>
      </c>
      <c r="G324" s="43">
        <v>0</v>
      </c>
      <c r="H324" s="21" t="s">
        <v>173</v>
      </c>
      <c r="I324" s="14">
        <f t="shared" si="52"/>
        <v>0</v>
      </c>
    </row>
    <row r="325" spans="1:9" ht="110.25" customHeight="1" x14ac:dyDescent="0.25">
      <c r="A325" s="102"/>
      <c r="B325" s="126" t="s">
        <v>251</v>
      </c>
      <c r="C325" s="59" t="s">
        <v>101</v>
      </c>
      <c r="D325" s="48">
        <v>204357.4</v>
      </c>
      <c r="E325" s="48">
        <v>204357.4</v>
      </c>
      <c r="F325" s="43">
        <v>0</v>
      </c>
      <c r="G325" s="43">
        <v>0</v>
      </c>
      <c r="H325" s="21" t="s">
        <v>173</v>
      </c>
      <c r="I325" s="14">
        <f t="shared" si="52"/>
        <v>0</v>
      </c>
    </row>
    <row r="326" spans="1:9" ht="47.25" x14ac:dyDescent="0.25">
      <c r="A326" s="105"/>
      <c r="B326" s="127"/>
      <c r="C326" s="59" t="s">
        <v>15</v>
      </c>
      <c r="D326" s="48">
        <v>91783.1</v>
      </c>
      <c r="E326" s="48">
        <v>91783.1</v>
      </c>
      <c r="F326" s="43">
        <v>0</v>
      </c>
      <c r="G326" s="43">
        <v>0</v>
      </c>
      <c r="H326" s="21" t="s">
        <v>173</v>
      </c>
      <c r="I326" s="14">
        <f t="shared" ref="I326:I327" si="53">ROUND(G326/E326,4)</f>
        <v>0</v>
      </c>
    </row>
    <row r="327" spans="1:9" ht="31.5" x14ac:dyDescent="0.25">
      <c r="A327" s="125"/>
      <c r="B327" s="128"/>
      <c r="C327" s="59" t="s">
        <v>13</v>
      </c>
      <c r="D327" s="48">
        <v>29.7</v>
      </c>
      <c r="E327" s="48">
        <v>29.7</v>
      </c>
      <c r="F327" s="43">
        <v>0</v>
      </c>
      <c r="G327" s="43">
        <v>0</v>
      </c>
      <c r="H327" s="21" t="s">
        <v>173</v>
      </c>
      <c r="I327" s="14">
        <f t="shared" si="53"/>
        <v>0</v>
      </c>
    </row>
    <row r="328" spans="1:9" ht="31.5" x14ac:dyDescent="0.25">
      <c r="A328" s="69"/>
      <c r="B328" s="46" t="s">
        <v>252</v>
      </c>
      <c r="C328" s="59" t="s">
        <v>13</v>
      </c>
      <c r="D328" s="48">
        <v>3517.96</v>
      </c>
      <c r="E328" s="48">
        <v>0</v>
      </c>
      <c r="F328" s="43">
        <v>0</v>
      </c>
      <c r="G328" s="43">
        <v>0</v>
      </c>
      <c r="H328" s="21" t="s">
        <v>173</v>
      </c>
      <c r="I328" s="14">
        <v>0</v>
      </c>
    </row>
    <row r="329" spans="1:9" x14ac:dyDescent="0.25">
      <c r="A329" s="85"/>
      <c r="B329" s="81" t="s">
        <v>17</v>
      </c>
      <c r="C329" s="49" t="s">
        <v>16</v>
      </c>
      <c r="D329" s="50">
        <f>D330+D331+D332</f>
        <v>326860.31</v>
      </c>
      <c r="E329" s="50">
        <f t="shared" ref="E329:G329" si="54">E330+E331+E332</f>
        <v>319460.75</v>
      </c>
      <c r="F329" s="50">
        <f t="shared" si="54"/>
        <v>2162.46</v>
      </c>
      <c r="G329" s="50">
        <f t="shared" si="54"/>
        <v>1929.4399999999998</v>
      </c>
      <c r="H329" s="21" t="s">
        <v>173</v>
      </c>
      <c r="I329" s="14">
        <f t="shared" si="52"/>
        <v>6.0000000000000001E-3</v>
      </c>
    </row>
    <row r="330" spans="1:9" ht="31.5" x14ac:dyDescent="0.25">
      <c r="A330" s="86"/>
      <c r="B330" s="88"/>
      <c r="C330" s="35" t="s">
        <v>101</v>
      </c>
      <c r="D330" s="38">
        <f>D325</f>
        <v>204357.4</v>
      </c>
      <c r="E330" s="38">
        <f>E325</f>
        <v>204357.4</v>
      </c>
      <c r="F330" s="38">
        <f t="shared" ref="F330:G330" si="55">F325</f>
        <v>0</v>
      </c>
      <c r="G330" s="38">
        <f t="shared" si="55"/>
        <v>0</v>
      </c>
      <c r="H330" s="21" t="s">
        <v>173</v>
      </c>
      <c r="I330" s="14">
        <f t="shared" si="52"/>
        <v>0</v>
      </c>
    </row>
    <row r="331" spans="1:9" ht="47.25" x14ac:dyDescent="0.25">
      <c r="A331" s="86"/>
      <c r="B331" s="88"/>
      <c r="C331" s="59" t="s">
        <v>15</v>
      </c>
      <c r="D331" s="38">
        <f>D316+D322+D321+D326</f>
        <v>94653.71</v>
      </c>
      <c r="E331" s="38">
        <f>E316+E322+E321+E326</f>
        <v>94653.71</v>
      </c>
      <c r="F331" s="38">
        <f t="shared" ref="F331:G331" si="56">F316+F322+F321+F326</f>
        <v>267.16000000000003</v>
      </c>
      <c r="G331" s="38">
        <f t="shared" si="56"/>
        <v>267.16000000000003</v>
      </c>
      <c r="H331" s="21" t="s">
        <v>173</v>
      </c>
      <c r="I331" s="14">
        <f t="shared" si="52"/>
        <v>2.8E-3</v>
      </c>
    </row>
    <row r="332" spans="1:9" ht="31.5" x14ac:dyDescent="0.25">
      <c r="A332" s="86"/>
      <c r="B332" s="87"/>
      <c r="C332" s="60" t="s">
        <v>13</v>
      </c>
      <c r="D332" s="18">
        <f>D328+D324+D323+D320+D319+D318+D317+D315+D314+D313+D312+D311+D327</f>
        <v>27849.200000000001</v>
      </c>
      <c r="E332" s="18">
        <f>E328+E324+E323+E320+E319+E318+E317+E315+E314+E313+E312+E311+E327</f>
        <v>20449.64</v>
      </c>
      <c r="F332" s="18">
        <f t="shared" ref="F332:G332" si="57">F328+F324+F323+F320+F319+F318+F317+F315+F314+F313+F312+F311+F327</f>
        <v>1895.3000000000002</v>
      </c>
      <c r="G332" s="18">
        <f t="shared" si="57"/>
        <v>1662.2799999999997</v>
      </c>
      <c r="H332" s="21" t="s">
        <v>173</v>
      </c>
      <c r="I332" s="14">
        <f t="shared" si="52"/>
        <v>8.1299999999999997E-2</v>
      </c>
    </row>
    <row r="333" spans="1:9" ht="15.75" customHeight="1" x14ac:dyDescent="0.25">
      <c r="A333" s="72" t="s">
        <v>158</v>
      </c>
      <c r="B333" s="73"/>
      <c r="C333" s="73"/>
      <c r="D333" s="73"/>
      <c r="E333" s="73"/>
      <c r="F333" s="73"/>
      <c r="G333" s="73"/>
      <c r="H333" s="73"/>
      <c r="I333" s="74"/>
    </row>
    <row r="334" spans="1:9" ht="63" x14ac:dyDescent="0.25">
      <c r="A334" s="33"/>
      <c r="B334" s="34" t="s">
        <v>116</v>
      </c>
      <c r="C334" s="59" t="s">
        <v>13</v>
      </c>
      <c r="D334" s="43">
        <v>5668.2</v>
      </c>
      <c r="E334" s="44">
        <v>1616.3</v>
      </c>
      <c r="F334" s="43">
        <v>0</v>
      </c>
      <c r="G334" s="43">
        <v>0</v>
      </c>
      <c r="H334" s="21" t="s">
        <v>173</v>
      </c>
      <c r="I334" s="14">
        <f>ROUND(G334/E334,4)</f>
        <v>0</v>
      </c>
    </row>
    <row r="335" spans="1:9" ht="47.25" x14ac:dyDescent="0.25">
      <c r="A335" s="33"/>
      <c r="B335" s="34" t="s">
        <v>253</v>
      </c>
      <c r="C335" s="59" t="s">
        <v>13</v>
      </c>
      <c r="D335" s="43">
        <v>2373</v>
      </c>
      <c r="E335" s="44">
        <v>2373</v>
      </c>
      <c r="F335" s="43">
        <v>0</v>
      </c>
      <c r="G335" s="43">
        <v>0</v>
      </c>
      <c r="H335" s="21" t="s">
        <v>173</v>
      </c>
      <c r="I335" s="14">
        <f>ROUND(G335/E335,4)</f>
        <v>0</v>
      </c>
    </row>
    <row r="336" spans="1:9" ht="63" x14ac:dyDescent="0.25">
      <c r="A336" s="33"/>
      <c r="B336" s="34" t="s">
        <v>117</v>
      </c>
      <c r="C336" s="59" t="s">
        <v>13</v>
      </c>
      <c r="D336" s="43">
        <v>367</v>
      </c>
      <c r="E336" s="44">
        <v>367</v>
      </c>
      <c r="F336" s="43">
        <v>147.74</v>
      </c>
      <c r="G336" s="43">
        <v>147.74</v>
      </c>
      <c r="H336" s="21" t="s">
        <v>173</v>
      </c>
      <c r="I336" s="14">
        <f t="shared" ref="I336:I341" si="58">ROUND(G336/E336,4)</f>
        <v>0.40260000000000001</v>
      </c>
    </row>
    <row r="337" spans="1:9" ht="47.25" x14ac:dyDescent="0.25">
      <c r="A337" s="33"/>
      <c r="B337" s="34" t="s">
        <v>159</v>
      </c>
      <c r="C337" s="59" t="s">
        <v>15</v>
      </c>
      <c r="D337" s="43">
        <v>6628.53</v>
      </c>
      <c r="E337" s="44">
        <v>6628.53</v>
      </c>
      <c r="F337" s="43">
        <v>0</v>
      </c>
      <c r="G337" s="43">
        <v>0</v>
      </c>
      <c r="H337" s="21" t="s">
        <v>173</v>
      </c>
      <c r="I337" s="14">
        <f t="shared" si="58"/>
        <v>0</v>
      </c>
    </row>
    <row r="338" spans="1:9" ht="31.5" x14ac:dyDescent="0.25">
      <c r="A338" s="33"/>
      <c r="B338" s="34" t="s">
        <v>160</v>
      </c>
      <c r="C338" s="59" t="s">
        <v>13</v>
      </c>
      <c r="D338" s="43">
        <v>3000</v>
      </c>
      <c r="E338" s="44">
        <v>2514.27</v>
      </c>
      <c r="F338" s="43">
        <v>0</v>
      </c>
      <c r="G338" s="43">
        <v>0</v>
      </c>
      <c r="H338" s="21" t="s">
        <v>173</v>
      </c>
      <c r="I338" s="14">
        <f t="shared" si="58"/>
        <v>0</v>
      </c>
    </row>
    <row r="339" spans="1:9" x14ac:dyDescent="0.25">
      <c r="A339" s="84"/>
      <c r="B339" s="78" t="s">
        <v>17</v>
      </c>
      <c r="C339" s="58" t="s">
        <v>16</v>
      </c>
      <c r="D339" s="15">
        <f>D341+D340</f>
        <v>18036.73</v>
      </c>
      <c r="E339" s="15">
        <f t="shared" ref="E339:G339" si="59">E341+E340</f>
        <v>13499.099999999999</v>
      </c>
      <c r="F339" s="15">
        <f t="shared" si="59"/>
        <v>147.74</v>
      </c>
      <c r="G339" s="15">
        <f t="shared" si="59"/>
        <v>147.74</v>
      </c>
      <c r="H339" s="21" t="s">
        <v>173</v>
      </c>
      <c r="I339" s="14">
        <f t="shared" si="58"/>
        <v>1.09E-2</v>
      </c>
    </row>
    <row r="340" spans="1:9" ht="47.25" x14ac:dyDescent="0.25">
      <c r="A340" s="84"/>
      <c r="B340" s="78"/>
      <c r="C340" s="59" t="s">
        <v>15</v>
      </c>
      <c r="D340" s="12">
        <f>D337</f>
        <v>6628.53</v>
      </c>
      <c r="E340" s="12">
        <f t="shared" ref="E340:G340" si="60">E337</f>
        <v>6628.53</v>
      </c>
      <c r="F340" s="12">
        <f t="shared" si="60"/>
        <v>0</v>
      </c>
      <c r="G340" s="12">
        <f t="shared" si="60"/>
        <v>0</v>
      </c>
      <c r="H340" s="21" t="s">
        <v>173</v>
      </c>
      <c r="I340" s="14">
        <f t="shared" si="58"/>
        <v>0</v>
      </c>
    </row>
    <row r="341" spans="1:9" ht="31.5" x14ac:dyDescent="0.25">
      <c r="A341" s="84"/>
      <c r="B341" s="79"/>
      <c r="C341" s="59" t="s">
        <v>13</v>
      </c>
      <c r="D341" s="12">
        <f>D334+D336+D338+D335</f>
        <v>11408.2</v>
      </c>
      <c r="E341" s="12">
        <f t="shared" ref="E341:G341" si="61">E334+E336+E338+E335</f>
        <v>6870.57</v>
      </c>
      <c r="F341" s="12">
        <f t="shared" si="61"/>
        <v>147.74</v>
      </c>
      <c r="G341" s="12">
        <f t="shared" si="61"/>
        <v>147.74</v>
      </c>
      <c r="H341" s="21" t="s">
        <v>173</v>
      </c>
      <c r="I341" s="14">
        <f t="shared" si="58"/>
        <v>2.1499999999999998E-2</v>
      </c>
    </row>
    <row r="342" spans="1:9" ht="15.75" customHeight="1" x14ac:dyDescent="0.25">
      <c r="A342" s="72" t="s">
        <v>171</v>
      </c>
      <c r="B342" s="73"/>
      <c r="C342" s="73"/>
      <c r="D342" s="73"/>
      <c r="E342" s="73"/>
      <c r="F342" s="73"/>
      <c r="G342" s="73"/>
      <c r="H342" s="73"/>
      <c r="I342" s="74"/>
    </row>
    <row r="343" spans="1:9" ht="63" x14ac:dyDescent="0.25">
      <c r="A343" s="65"/>
      <c r="B343" s="52" t="s">
        <v>123</v>
      </c>
      <c r="C343" s="59" t="s">
        <v>13</v>
      </c>
      <c r="D343" s="43">
        <v>9000</v>
      </c>
      <c r="E343" s="44">
        <v>9000</v>
      </c>
      <c r="F343" s="43">
        <v>848</v>
      </c>
      <c r="G343" s="43">
        <v>839.86</v>
      </c>
      <c r="H343" s="21" t="s">
        <v>173</v>
      </c>
      <c r="I343" s="14">
        <f>ROUND(G343/E343,4)</f>
        <v>9.3299999999999994E-2</v>
      </c>
    </row>
    <row r="344" spans="1:9" ht="31.5" x14ac:dyDescent="0.25">
      <c r="A344" s="65"/>
      <c r="B344" s="52" t="s">
        <v>118</v>
      </c>
      <c r="C344" s="59" t="s">
        <v>13</v>
      </c>
      <c r="D344" s="43">
        <v>1050</v>
      </c>
      <c r="E344" s="44">
        <v>707</v>
      </c>
      <c r="F344" s="43">
        <v>90</v>
      </c>
      <c r="G344" s="43">
        <v>69.989999999999995</v>
      </c>
      <c r="H344" s="21" t="s">
        <v>173</v>
      </c>
      <c r="I344" s="14">
        <f>ROUND(G344/E344,4)</f>
        <v>9.9000000000000005E-2</v>
      </c>
    </row>
    <row r="345" spans="1:9" x14ac:dyDescent="0.25">
      <c r="A345" s="102"/>
      <c r="B345" s="98" t="s">
        <v>17</v>
      </c>
      <c r="C345" s="58" t="s">
        <v>16</v>
      </c>
      <c r="D345" s="15">
        <f>D346</f>
        <v>10050</v>
      </c>
      <c r="E345" s="15">
        <f t="shared" ref="E345:G345" si="62">E346</f>
        <v>9707</v>
      </c>
      <c r="F345" s="15">
        <f t="shared" si="62"/>
        <v>938</v>
      </c>
      <c r="G345" s="15">
        <f t="shared" si="62"/>
        <v>909.85</v>
      </c>
      <c r="H345" s="42" t="s">
        <v>173</v>
      </c>
      <c r="I345" s="17">
        <f>ROUND(G345/E345,4)</f>
        <v>9.3700000000000006E-2</v>
      </c>
    </row>
    <row r="346" spans="1:9" ht="31.5" x14ac:dyDescent="0.25">
      <c r="A346" s="97"/>
      <c r="B346" s="99"/>
      <c r="C346" s="59" t="s">
        <v>13</v>
      </c>
      <c r="D346" s="12">
        <f>D343+D344</f>
        <v>10050</v>
      </c>
      <c r="E346" s="12">
        <f t="shared" ref="E346:G346" si="63">E343+E344</f>
        <v>9707</v>
      </c>
      <c r="F346" s="12">
        <f t="shared" si="63"/>
        <v>938</v>
      </c>
      <c r="G346" s="12">
        <f t="shared" si="63"/>
        <v>909.85</v>
      </c>
      <c r="H346" s="21" t="s">
        <v>173</v>
      </c>
      <c r="I346" s="14">
        <f>ROUND(G346/E346,4)</f>
        <v>9.3700000000000006E-2</v>
      </c>
    </row>
    <row r="347" spans="1:9" ht="15.75" customHeight="1" x14ac:dyDescent="0.25">
      <c r="A347" s="72" t="s">
        <v>122</v>
      </c>
      <c r="B347" s="73"/>
      <c r="C347" s="73"/>
      <c r="D347" s="73"/>
      <c r="E347" s="73"/>
      <c r="F347" s="73"/>
      <c r="G347" s="73"/>
      <c r="H347" s="73"/>
      <c r="I347" s="74"/>
    </row>
    <row r="348" spans="1:9" ht="126" x14ac:dyDescent="0.25">
      <c r="A348" s="33"/>
      <c r="B348" s="34" t="s">
        <v>91</v>
      </c>
      <c r="C348" s="59" t="s">
        <v>13</v>
      </c>
      <c r="D348" s="43">
        <v>10000</v>
      </c>
      <c r="E348" s="43">
        <v>0</v>
      </c>
      <c r="F348" s="43">
        <v>0</v>
      </c>
      <c r="G348" s="43">
        <v>0</v>
      </c>
      <c r="H348" s="21" t="s">
        <v>173</v>
      </c>
      <c r="I348" s="14">
        <v>0</v>
      </c>
    </row>
    <row r="349" spans="1:9" x14ac:dyDescent="0.25">
      <c r="A349" s="84"/>
      <c r="B349" s="78" t="s">
        <v>17</v>
      </c>
      <c r="C349" s="58" t="s">
        <v>16</v>
      </c>
      <c r="D349" s="15">
        <f>D350</f>
        <v>10000</v>
      </c>
      <c r="E349" s="15">
        <f>E350</f>
        <v>0</v>
      </c>
      <c r="F349" s="15">
        <f>F350</f>
        <v>0</v>
      </c>
      <c r="G349" s="15">
        <f>G350</f>
        <v>0</v>
      </c>
      <c r="H349" s="21" t="s">
        <v>173</v>
      </c>
      <c r="I349" s="14">
        <v>0</v>
      </c>
    </row>
    <row r="350" spans="1:9" ht="31.5" x14ac:dyDescent="0.25">
      <c r="A350" s="84"/>
      <c r="B350" s="79"/>
      <c r="C350" s="59" t="s">
        <v>13</v>
      </c>
      <c r="D350" s="12">
        <f>D348</f>
        <v>10000</v>
      </c>
      <c r="E350" s="12">
        <f>E348</f>
        <v>0</v>
      </c>
      <c r="F350" s="12">
        <f>F348</f>
        <v>0</v>
      </c>
      <c r="G350" s="12">
        <f>G348</f>
        <v>0</v>
      </c>
      <c r="H350" s="21" t="s">
        <v>173</v>
      </c>
      <c r="I350" s="14">
        <v>0</v>
      </c>
    </row>
    <row r="351" spans="1:9" ht="15.75" customHeight="1" x14ac:dyDescent="0.25">
      <c r="A351" s="72" t="s">
        <v>156</v>
      </c>
      <c r="B351" s="73"/>
      <c r="C351" s="73"/>
      <c r="D351" s="73"/>
      <c r="E351" s="73"/>
      <c r="F351" s="73"/>
      <c r="G351" s="73"/>
      <c r="H351" s="73"/>
      <c r="I351" s="74"/>
    </row>
    <row r="352" spans="1:9" ht="63" x14ac:dyDescent="0.25">
      <c r="A352" s="67"/>
      <c r="B352" s="60" t="s">
        <v>121</v>
      </c>
      <c r="C352" s="59" t="s">
        <v>13</v>
      </c>
      <c r="D352" s="12">
        <v>1000</v>
      </c>
      <c r="E352" s="12">
        <v>500</v>
      </c>
      <c r="F352" s="12">
        <v>0</v>
      </c>
      <c r="G352" s="12">
        <v>0</v>
      </c>
      <c r="H352" s="21" t="s">
        <v>173</v>
      </c>
      <c r="I352" s="14">
        <f>ROUND(G352/E352,4)</f>
        <v>0</v>
      </c>
    </row>
    <row r="353" spans="1:9" x14ac:dyDescent="0.25">
      <c r="A353" s="102"/>
      <c r="B353" s="81" t="s">
        <v>17</v>
      </c>
      <c r="C353" s="58" t="s">
        <v>16</v>
      </c>
      <c r="D353" s="15">
        <f>D354</f>
        <v>1000</v>
      </c>
      <c r="E353" s="15">
        <f>E354</f>
        <v>500</v>
      </c>
      <c r="F353" s="15">
        <f>F354</f>
        <v>0</v>
      </c>
      <c r="G353" s="15">
        <f>G354</f>
        <v>0</v>
      </c>
      <c r="H353" s="42" t="s">
        <v>173</v>
      </c>
      <c r="I353" s="17">
        <f>ROUND(G353/E353,4)</f>
        <v>0</v>
      </c>
    </row>
    <row r="354" spans="1:9" ht="31.5" x14ac:dyDescent="0.25">
      <c r="A354" s="103"/>
      <c r="B354" s="83"/>
      <c r="C354" s="59" t="s">
        <v>13</v>
      </c>
      <c r="D354" s="12">
        <f>D352</f>
        <v>1000</v>
      </c>
      <c r="E354" s="12">
        <f>E352</f>
        <v>500</v>
      </c>
      <c r="F354" s="12">
        <f>F352</f>
        <v>0</v>
      </c>
      <c r="G354" s="12">
        <f>G352</f>
        <v>0</v>
      </c>
      <c r="H354" s="21" t="s">
        <v>173</v>
      </c>
      <c r="I354" s="14">
        <f>ROUND(G354/E354,4)</f>
        <v>0</v>
      </c>
    </row>
    <row r="355" spans="1:9" ht="15.75" customHeight="1" x14ac:dyDescent="0.25">
      <c r="A355" s="72" t="s">
        <v>120</v>
      </c>
      <c r="B355" s="73"/>
      <c r="C355" s="73"/>
      <c r="D355" s="73"/>
      <c r="E355" s="73"/>
      <c r="F355" s="73"/>
      <c r="G355" s="73"/>
      <c r="H355" s="73"/>
      <c r="I355" s="74"/>
    </row>
    <row r="356" spans="1:9" ht="252" x14ac:dyDescent="0.25">
      <c r="A356" s="51"/>
      <c r="B356" s="59" t="s">
        <v>210</v>
      </c>
      <c r="C356" s="59" t="s">
        <v>13</v>
      </c>
      <c r="D356" s="12">
        <v>6210</v>
      </c>
      <c r="E356" s="12">
        <v>0</v>
      </c>
      <c r="F356" s="12">
        <v>0</v>
      </c>
      <c r="G356" s="12">
        <v>0</v>
      </c>
      <c r="H356" s="21" t="s">
        <v>173</v>
      </c>
      <c r="I356" s="14">
        <v>0</v>
      </c>
    </row>
    <row r="357" spans="1:9" x14ac:dyDescent="0.25">
      <c r="A357" s="96"/>
      <c r="B357" s="81" t="s">
        <v>17</v>
      </c>
      <c r="C357" s="58" t="s">
        <v>172</v>
      </c>
      <c r="D357" s="15">
        <f>D358</f>
        <v>6210</v>
      </c>
      <c r="E357" s="15">
        <f>E358</f>
        <v>0</v>
      </c>
      <c r="F357" s="15">
        <f>F358</f>
        <v>0</v>
      </c>
      <c r="G357" s="15">
        <f>G358</f>
        <v>0</v>
      </c>
      <c r="H357" s="42" t="s">
        <v>173</v>
      </c>
      <c r="I357" s="17">
        <v>0</v>
      </c>
    </row>
    <row r="358" spans="1:9" ht="31.5" x14ac:dyDescent="0.25">
      <c r="A358" s="103"/>
      <c r="B358" s="104"/>
      <c r="C358" s="59" t="s">
        <v>13</v>
      </c>
      <c r="D358" s="12">
        <f>D356</f>
        <v>6210</v>
      </c>
      <c r="E358" s="12">
        <f>E356</f>
        <v>0</v>
      </c>
      <c r="F358" s="12">
        <f>F356</f>
        <v>0</v>
      </c>
      <c r="G358" s="12">
        <f>G356</f>
        <v>0</v>
      </c>
      <c r="H358" s="21" t="s">
        <v>173</v>
      </c>
      <c r="I358" s="14">
        <v>0</v>
      </c>
    </row>
    <row r="359" spans="1:9" ht="15.75" customHeight="1" x14ac:dyDescent="0.25">
      <c r="A359" s="72" t="s">
        <v>119</v>
      </c>
      <c r="B359" s="73"/>
      <c r="C359" s="73"/>
      <c r="D359" s="73"/>
      <c r="E359" s="73"/>
      <c r="F359" s="73"/>
      <c r="G359" s="73"/>
      <c r="H359" s="73"/>
      <c r="I359" s="74"/>
    </row>
    <row r="360" spans="1:9" ht="94.5" x14ac:dyDescent="0.25">
      <c r="A360" s="51"/>
      <c r="B360" s="59" t="s">
        <v>100</v>
      </c>
      <c r="C360" s="59" t="s">
        <v>13</v>
      </c>
      <c r="D360" s="12">
        <v>412</v>
      </c>
      <c r="E360" s="12">
        <v>412</v>
      </c>
      <c r="F360" s="12">
        <v>100</v>
      </c>
      <c r="G360" s="12">
        <v>100</v>
      </c>
      <c r="H360" s="21" t="s">
        <v>173</v>
      </c>
      <c r="I360" s="14">
        <f t="shared" ref="I360:I376" si="64">ROUND(G360/E360,4)</f>
        <v>0.2427</v>
      </c>
    </row>
    <row r="361" spans="1:9" ht="31.5" x14ac:dyDescent="0.25">
      <c r="A361" s="51"/>
      <c r="B361" s="59" t="s">
        <v>145</v>
      </c>
      <c r="C361" s="59" t="s">
        <v>13</v>
      </c>
      <c r="D361" s="12">
        <v>8288</v>
      </c>
      <c r="E361" s="12">
        <v>4494</v>
      </c>
      <c r="F361" s="12">
        <v>639.88</v>
      </c>
      <c r="G361" s="12">
        <v>639.88</v>
      </c>
      <c r="H361" s="21" t="s">
        <v>173</v>
      </c>
      <c r="I361" s="14">
        <f t="shared" si="64"/>
        <v>0.1424</v>
      </c>
    </row>
    <row r="362" spans="1:9" ht="47.25" x14ac:dyDescent="0.25">
      <c r="A362" s="51"/>
      <c r="B362" s="59" t="s">
        <v>254</v>
      </c>
      <c r="C362" s="59" t="s">
        <v>13</v>
      </c>
      <c r="D362" s="12">
        <v>208</v>
      </c>
      <c r="E362" s="12">
        <v>104</v>
      </c>
      <c r="F362" s="12">
        <v>20</v>
      </c>
      <c r="G362" s="12">
        <v>20</v>
      </c>
      <c r="H362" s="21" t="s">
        <v>173</v>
      </c>
      <c r="I362" s="14">
        <f t="shared" si="64"/>
        <v>0.1923</v>
      </c>
    </row>
    <row r="363" spans="1:9" x14ac:dyDescent="0.25">
      <c r="A363" s="96"/>
      <c r="B363" s="81" t="s">
        <v>17</v>
      </c>
      <c r="C363" s="58" t="s">
        <v>16</v>
      </c>
      <c r="D363" s="15">
        <f>D364</f>
        <v>8908</v>
      </c>
      <c r="E363" s="15">
        <f t="shared" ref="E363:G363" si="65">E364</f>
        <v>5010</v>
      </c>
      <c r="F363" s="15">
        <f t="shared" si="65"/>
        <v>759.88</v>
      </c>
      <c r="G363" s="15">
        <f t="shared" si="65"/>
        <v>759.88</v>
      </c>
      <c r="H363" s="21" t="s">
        <v>173</v>
      </c>
      <c r="I363" s="14">
        <f t="shared" si="64"/>
        <v>0.1517</v>
      </c>
    </row>
    <row r="364" spans="1:9" ht="31.5" x14ac:dyDescent="0.25">
      <c r="A364" s="97"/>
      <c r="B364" s="100"/>
      <c r="C364" s="59" t="s">
        <v>13</v>
      </c>
      <c r="D364" s="12">
        <f>D360+D361+D362</f>
        <v>8908</v>
      </c>
      <c r="E364" s="12">
        <f t="shared" ref="E364:G364" si="66">E360+E361+E362</f>
        <v>5010</v>
      </c>
      <c r="F364" s="12">
        <f t="shared" si="66"/>
        <v>759.88</v>
      </c>
      <c r="G364" s="12">
        <f t="shared" si="66"/>
        <v>759.88</v>
      </c>
      <c r="H364" s="21" t="s">
        <v>173</v>
      </c>
      <c r="I364" s="14">
        <f t="shared" si="64"/>
        <v>0.1517</v>
      </c>
    </row>
    <row r="365" spans="1:9" ht="15.75" customHeight="1" x14ac:dyDescent="0.25">
      <c r="A365" s="72" t="s">
        <v>255</v>
      </c>
      <c r="B365" s="73"/>
      <c r="C365" s="73"/>
      <c r="D365" s="73"/>
      <c r="E365" s="73"/>
      <c r="F365" s="73"/>
      <c r="G365" s="73"/>
      <c r="H365" s="73"/>
      <c r="I365" s="74"/>
    </row>
    <row r="366" spans="1:9" ht="31.5" x14ac:dyDescent="0.25">
      <c r="A366" s="67"/>
      <c r="B366" s="108" t="s">
        <v>256</v>
      </c>
      <c r="C366" s="59" t="s">
        <v>193</v>
      </c>
      <c r="D366" s="12">
        <v>5408.3</v>
      </c>
      <c r="E366" s="12">
        <v>5408.3</v>
      </c>
      <c r="F366" s="12">
        <v>0</v>
      </c>
      <c r="G366" s="12">
        <v>0</v>
      </c>
      <c r="H366" s="21" t="s">
        <v>173</v>
      </c>
      <c r="I366" s="14">
        <f t="shared" ref="I366" si="67">ROUND(G366/E366,4)</f>
        <v>0</v>
      </c>
    </row>
    <row r="367" spans="1:9" ht="47.25" x14ac:dyDescent="0.25">
      <c r="A367" s="67"/>
      <c r="B367" s="87"/>
      <c r="C367" s="59" t="s">
        <v>15</v>
      </c>
      <c r="D367" s="12">
        <v>2429</v>
      </c>
      <c r="E367" s="12">
        <v>2429</v>
      </c>
      <c r="F367" s="12">
        <v>0</v>
      </c>
      <c r="G367" s="12">
        <v>0</v>
      </c>
      <c r="H367" s="21" t="s">
        <v>173</v>
      </c>
      <c r="I367" s="14">
        <f t="shared" ref="I367:I372" si="68">ROUND(G367/E367,4)</f>
        <v>0</v>
      </c>
    </row>
    <row r="368" spans="1:9" ht="31.5" x14ac:dyDescent="0.25">
      <c r="A368" s="67"/>
      <c r="B368" s="109"/>
      <c r="C368" s="59" t="s">
        <v>257</v>
      </c>
      <c r="D368" s="12">
        <v>0.8</v>
      </c>
      <c r="E368" s="12">
        <v>0.8</v>
      </c>
      <c r="F368" s="12">
        <v>0</v>
      </c>
      <c r="G368" s="12">
        <v>0</v>
      </c>
      <c r="H368" s="21" t="s">
        <v>173</v>
      </c>
      <c r="I368" s="14">
        <f t="shared" si="68"/>
        <v>0</v>
      </c>
    </row>
    <row r="369" spans="1:9" x14ac:dyDescent="0.25">
      <c r="A369" s="67"/>
      <c r="B369" s="81" t="s">
        <v>17</v>
      </c>
      <c r="C369" s="58" t="s">
        <v>16</v>
      </c>
      <c r="D369" s="15">
        <f>D370+D371+D372</f>
        <v>7838.1</v>
      </c>
      <c r="E369" s="15">
        <f>E370+E371+E372</f>
        <v>7838.1</v>
      </c>
      <c r="F369" s="15">
        <f t="shared" ref="F369:G369" si="69">F370+F371+F372</f>
        <v>0</v>
      </c>
      <c r="G369" s="15">
        <f t="shared" si="69"/>
        <v>0</v>
      </c>
      <c r="H369" s="21" t="s">
        <v>173</v>
      </c>
      <c r="I369" s="14">
        <f t="shared" si="68"/>
        <v>0</v>
      </c>
    </row>
    <row r="370" spans="1:9" ht="31.5" x14ac:dyDescent="0.25">
      <c r="A370" s="67"/>
      <c r="B370" s="100"/>
      <c r="C370" s="59" t="s">
        <v>13</v>
      </c>
      <c r="D370" s="12">
        <f>D368</f>
        <v>0.8</v>
      </c>
      <c r="E370" s="12">
        <f>E368</f>
        <v>0.8</v>
      </c>
      <c r="F370" s="12">
        <f t="shared" ref="F370:G370" si="70">F368</f>
        <v>0</v>
      </c>
      <c r="G370" s="12">
        <f t="shared" si="70"/>
        <v>0</v>
      </c>
      <c r="H370" s="21" t="s">
        <v>173</v>
      </c>
      <c r="I370" s="14">
        <f t="shared" si="68"/>
        <v>0</v>
      </c>
    </row>
    <row r="371" spans="1:9" ht="31.5" x14ac:dyDescent="0.25">
      <c r="A371" s="67"/>
      <c r="B371" s="68"/>
      <c r="C371" s="59" t="s">
        <v>193</v>
      </c>
      <c r="D371" s="12">
        <f>D366</f>
        <v>5408.3</v>
      </c>
      <c r="E371" s="12">
        <f>E366</f>
        <v>5408.3</v>
      </c>
      <c r="F371" s="12">
        <f t="shared" ref="F371:G371" si="71">F366</f>
        <v>0</v>
      </c>
      <c r="G371" s="12">
        <f t="shared" si="71"/>
        <v>0</v>
      </c>
      <c r="H371" s="21" t="s">
        <v>173</v>
      </c>
      <c r="I371" s="14">
        <f t="shared" si="68"/>
        <v>0</v>
      </c>
    </row>
    <row r="372" spans="1:9" ht="47.25" x14ac:dyDescent="0.25">
      <c r="A372" s="67"/>
      <c r="B372" s="68"/>
      <c r="C372" s="59" t="s">
        <v>15</v>
      </c>
      <c r="D372" s="12">
        <f>D367</f>
        <v>2429</v>
      </c>
      <c r="E372" s="12">
        <f>E367</f>
        <v>2429</v>
      </c>
      <c r="F372" s="12">
        <f t="shared" ref="F372:G372" si="72">F367</f>
        <v>0</v>
      </c>
      <c r="G372" s="12">
        <f t="shared" si="72"/>
        <v>0</v>
      </c>
      <c r="H372" s="21" t="s">
        <v>173</v>
      </c>
      <c r="I372" s="14">
        <f t="shared" si="68"/>
        <v>0</v>
      </c>
    </row>
    <row r="373" spans="1:9" x14ac:dyDescent="0.25">
      <c r="A373" s="85"/>
      <c r="B373" s="81" t="s">
        <v>14</v>
      </c>
      <c r="C373" s="58" t="s">
        <v>16</v>
      </c>
      <c r="D373" s="15">
        <f>D374+D375+D376</f>
        <v>388903.13999999996</v>
      </c>
      <c r="E373" s="15">
        <f t="shared" ref="E373:G373" si="73">E374+E375+E376</f>
        <v>356014.95</v>
      </c>
      <c r="F373" s="15">
        <f t="shared" si="73"/>
        <v>4008.08</v>
      </c>
      <c r="G373" s="15">
        <f t="shared" si="73"/>
        <v>3746.91</v>
      </c>
      <c r="H373" s="21" t="s">
        <v>173</v>
      </c>
      <c r="I373" s="14">
        <f t="shared" si="64"/>
        <v>1.0500000000000001E-2</v>
      </c>
    </row>
    <row r="374" spans="1:9" ht="31.5" x14ac:dyDescent="0.25">
      <c r="A374" s="86"/>
      <c r="B374" s="88"/>
      <c r="C374" s="59" t="s">
        <v>101</v>
      </c>
      <c r="D374" s="12">
        <f>D330+D371</f>
        <v>209765.69999999998</v>
      </c>
      <c r="E374" s="12">
        <f>E330+E371</f>
        <v>209765.69999999998</v>
      </c>
      <c r="F374" s="12">
        <f t="shared" ref="F374:G374" si="74">F330+F371</f>
        <v>0</v>
      </c>
      <c r="G374" s="12">
        <f t="shared" si="74"/>
        <v>0</v>
      </c>
      <c r="H374" s="21" t="s">
        <v>173</v>
      </c>
      <c r="I374" s="14">
        <f t="shared" si="64"/>
        <v>0</v>
      </c>
    </row>
    <row r="375" spans="1:9" s="4" customFormat="1" ht="31.5" x14ac:dyDescent="0.25">
      <c r="A375" s="86"/>
      <c r="B375" s="87"/>
      <c r="C375" s="59" t="s">
        <v>13</v>
      </c>
      <c r="D375" s="12">
        <f>D332+D341+D346+D350+D354+D358+D364+D370</f>
        <v>75426.2</v>
      </c>
      <c r="E375" s="12">
        <f t="shared" ref="E375:G375" si="75">E332+E341+E346+E350+E354+E358+E364+E370</f>
        <v>42538.01</v>
      </c>
      <c r="F375" s="12">
        <f t="shared" si="75"/>
        <v>3740.92</v>
      </c>
      <c r="G375" s="12">
        <f t="shared" si="75"/>
        <v>3479.75</v>
      </c>
      <c r="H375" s="21" t="s">
        <v>173</v>
      </c>
      <c r="I375" s="14">
        <f t="shared" si="64"/>
        <v>8.1799999999999998E-2</v>
      </c>
    </row>
    <row r="376" spans="1:9" s="5" customFormat="1" ht="47.25" x14ac:dyDescent="0.25">
      <c r="A376" s="97"/>
      <c r="B376" s="82"/>
      <c r="C376" s="35" t="s">
        <v>15</v>
      </c>
      <c r="D376" s="12">
        <f>D331+D340+D372</f>
        <v>103711.24</v>
      </c>
      <c r="E376" s="12">
        <f t="shared" ref="E376:G376" si="76">E331+E340+E372</f>
        <v>103711.24</v>
      </c>
      <c r="F376" s="12">
        <f t="shared" si="76"/>
        <v>267.16000000000003</v>
      </c>
      <c r="G376" s="12">
        <f t="shared" si="76"/>
        <v>267.16000000000003</v>
      </c>
      <c r="H376" s="21" t="s">
        <v>173</v>
      </c>
      <c r="I376" s="14">
        <f t="shared" si="64"/>
        <v>2.5999999999999999E-3</v>
      </c>
    </row>
    <row r="377" spans="1:9" x14ac:dyDescent="0.25">
      <c r="A377" s="6">
        <v>17</v>
      </c>
      <c r="B377" s="75" t="s">
        <v>108</v>
      </c>
      <c r="C377" s="76"/>
      <c r="D377" s="76"/>
      <c r="E377" s="76"/>
      <c r="F377" s="76"/>
      <c r="G377" s="76"/>
      <c r="H377" s="76"/>
      <c r="I377" s="77"/>
    </row>
    <row r="378" spans="1:9" ht="31.5" x14ac:dyDescent="0.25">
      <c r="A378" s="36"/>
      <c r="B378" s="59" t="s">
        <v>109</v>
      </c>
      <c r="C378" s="59" t="s">
        <v>13</v>
      </c>
      <c r="D378" s="12">
        <v>455</v>
      </c>
      <c r="E378" s="12">
        <v>227.5</v>
      </c>
      <c r="F378" s="12">
        <v>50</v>
      </c>
      <c r="G378" s="12">
        <v>50</v>
      </c>
      <c r="H378" s="24" t="s">
        <v>174</v>
      </c>
      <c r="I378" s="25">
        <f t="shared" ref="I378:I392" si="77">ROUND(G378/E378,4)</f>
        <v>0.2198</v>
      </c>
    </row>
    <row r="379" spans="1:9" ht="78.75" x14ac:dyDescent="0.25">
      <c r="A379" s="61"/>
      <c r="B379" s="60" t="s">
        <v>146</v>
      </c>
      <c r="C379" s="35" t="s">
        <v>15</v>
      </c>
      <c r="D379" s="12">
        <v>1030.2</v>
      </c>
      <c r="E379" s="12">
        <v>1030.2</v>
      </c>
      <c r="F379" s="12">
        <v>0</v>
      </c>
      <c r="G379" s="12">
        <v>0</v>
      </c>
      <c r="H379" s="13" t="s">
        <v>174</v>
      </c>
      <c r="I379" s="14">
        <f t="shared" si="77"/>
        <v>0</v>
      </c>
    </row>
    <row r="380" spans="1:9" x14ac:dyDescent="0.25">
      <c r="A380" s="85"/>
      <c r="B380" s="81" t="s">
        <v>14</v>
      </c>
      <c r="C380" s="58" t="s">
        <v>16</v>
      </c>
      <c r="D380" s="15">
        <f>D381+D382</f>
        <v>1485.2</v>
      </c>
      <c r="E380" s="15">
        <f t="shared" ref="E380:G380" si="78">E381+E382</f>
        <v>1257.7</v>
      </c>
      <c r="F380" s="15">
        <f t="shared" si="78"/>
        <v>50</v>
      </c>
      <c r="G380" s="15">
        <f t="shared" si="78"/>
        <v>50</v>
      </c>
      <c r="H380" s="53" t="s">
        <v>173</v>
      </c>
      <c r="I380" s="54">
        <f t="shared" si="77"/>
        <v>3.9800000000000002E-2</v>
      </c>
    </row>
    <row r="381" spans="1:9" s="4" customFormat="1" ht="31.5" x14ac:dyDescent="0.25">
      <c r="A381" s="86"/>
      <c r="B381" s="88"/>
      <c r="C381" s="59" t="s">
        <v>13</v>
      </c>
      <c r="D381" s="12">
        <f>D378</f>
        <v>455</v>
      </c>
      <c r="E381" s="12">
        <f t="shared" ref="E381:G381" si="79">E378</f>
        <v>227.5</v>
      </c>
      <c r="F381" s="12">
        <f t="shared" si="79"/>
        <v>50</v>
      </c>
      <c r="G381" s="12">
        <f t="shared" si="79"/>
        <v>50</v>
      </c>
      <c r="H381" s="155" t="s">
        <v>173</v>
      </c>
      <c r="I381" s="156">
        <f t="shared" si="77"/>
        <v>0.2198</v>
      </c>
    </row>
    <row r="382" spans="1:9" s="5" customFormat="1" ht="47.25" x14ac:dyDescent="0.25">
      <c r="A382" s="63"/>
      <c r="B382" s="88"/>
      <c r="C382" s="35" t="s">
        <v>15</v>
      </c>
      <c r="D382" s="12">
        <f>D379</f>
        <v>1030.2</v>
      </c>
      <c r="E382" s="12">
        <f t="shared" ref="E382:G382" si="80">E379</f>
        <v>1030.2</v>
      </c>
      <c r="F382" s="12">
        <f t="shared" si="80"/>
        <v>0</v>
      </c>
      <c r="G382" s="12">
        <f t="shared" si="80"/>
        <v>0</v>
      </c>
      <c r="H382" s="13" t="s">
        <v>173</v>
      </c>
      <c r="I382" s="14">
        <f t="shared" si="77"/>
        <v>0</v>
      </c>
    </row>
    <row r="383" spans="1:9" ht="36" customHeight="1" x14ac:dyDescent="0.25">
      <c r="A383" s="58">
        <v>18</v>
      </c>
      <c r="B383" s="75" t="s">
        <v>148</v>
      </c>
      <c r="C383" s="76"/>
      <c r="D383" s="76"/>
      <c r="E383" s="76"/>
      <c r="F383" s="76"/>
      <c r="G383" s="76"/>
      <c r="H383" s="76"/>
      <c r="I383" s="77"/>
    </row>
    <row r="384" spans="1:9" s="5" customFormat="1" ht="78.75" x14ac:dyDescent="0.25">
      <c r="A384" s="55"/>
      <c r="B384" s="59" t="s">
        <v>149</v>
      </c>
      <c r="C384" s="59" t="s">
        <v>13</v>
      </c>
      <c r="D384" s="12">
        <v>115</v>
      </c>
      <c r="E384" s="12">
        <v>57.5</v>
      </c>
      <c r="F384" s="12">
        <v>0</v>
      </c>
      <c r="G384" s="12">
        <v>0</v>
      </c>
      <c r="H384" s="13" t="s">
        <v>173</v>
      </c>
      <c r="I384" s="14">
        <f t="shared" si="77"/>
        <v>0</v>
      </c>
    </row>
    <row r="385" spans="1:9" s="5" customFormat="1" ht="94.5" x14ac:dyDescent="0.25">
      <c r="A385" s="55"/>
      <c r="B385" s="59" t="s">
        <v>150</v>
      </c>
      <c r="C385" s="59" t="s">
        <v>13</v>
      </c>
      <c r="D385" s="12">
        <v>25</v>
      </c>
      <c r="E385" s="12">
        <v>0</v>
      </c>
      <c r="F385" s="12">
        <v>0</v>
      </c>
      <c r="G385" s="12">
        <v>0</v>
      </c>
      <c r="H385" s="13" t="s">
        <v>173</v>
      </c>
      <c r="I385" s="14">
        <v>0</v>
      </c>
    </row>
    <row r="386" spans="1:9" s="5" customFormat="1" ht="31.5" customHeight="1" x14ac:dyDescent="0.25">
      <c r="A386" s="55"/>
      <c r="B386" s="59" t="s">
        <v>151</v>
      </c>
      <c r="C386" s="59" t="s">
        <v>13</v>
      </c>
      <c r="D386" s="12">
        <v>45.3</v>
      </c>
      <c r="E386" s="12">
        <v>15.5</v>
      </c>
      <c r="F386" s="12">
        <v>0</v>
      </c>
      <c r="G386" s="12">
        <v>0</v>
      </c>
      <c r="H386" s="13" t="s">
        <v>173</v>
      </c>
      <c r="I386" s="14">
        <f t="shared" si="77"/>
        <v>0</v>
      </c>
    </row>
    <row r="387" spans="1:9" s="5" customFormat="1" ht="31.5" customHeight="1" x14ac:dyDescent="0.25">
      <c r="A387" s="56"/>
      <c r="B387" s="57" t="s">
        <v>14</v>
      </c>
      <c r="C387" s="58" t="s">
        <v>13</v>
      </c>
      <c r="D387" s="15">
        <f>D384+D385+D386</f>
        <v>185.3</v>
      </c>
      <c r="E387" s="15">
        <f>E384+E385+E386</f>
        <v>73</v>
      </c>
      <c r="F387" s="15">
        <f>F384+F385+F386</f>
        <v>0</v>
      </c>
      <c r="G387" s="15">
        <f>G384+G385+G386</f>
        <v>0</v>
      </c>
      <c r="H387" s="16" t="s">
        <v>173</v>
      </c>
      <c r="I387" s="17">
        <f t="shared" si="77"/>
        <v>0</v>
      </c>
    </row>
    <row r="388" spans="1:9" s="2" customFormat="1" ht="15.75" customHeight="1" x14ac:dyDescent="0.25">
      <c r="A388" s="85"/>
      <c r="B388" s="81" t="s">
        <v>45</v>
      </c>
      <c r="C388" s="30" t="s">
        <v>16</v>
      </c>
      <c r="D388" s="31">
        <f>D390+D391+D392+D389</f>
        <v>4449249.33</v>
      </c>
      <c r="E388" s="31">
        <f t="shared" ref="E388:G388" si="81">E390+E391+E392+E389</f>
        <v>4195222.16</v>
      </c>
      <c r="F388" s="31">
        <f t="shared" si="81"/>
        <v>848020.38999999978</v>
      </c>
      <c r="G388" s="31">
        <f t="shared" si="81"/>
        <v>830707.6</v>
      </c>
      <c r="H388" s="16" t="s">
        <v>173</v>
      </c>
      <c r="I388" s="17">
        <f t="shared" si="77"/>
        <v>0.19800000000000001</v>
      </c>
    </row>
    <row r="389" spans="1:9" s="2" customFormat="1" ht="31.5" customHeight="1" x14ac:dyDescent="0.25">
      <c r="A389" s="86"/>
      <c r="B389" s="88"/>
      <c r="C389" s="59" t="s">
        <v>101</v>
      </c>
      <c r="D389" s="28">
        <f>D90+D99+D374+D150</f>
        <v>457522</v>
      </c>
      <c r="E389" s="28">
        <f>E90+E99+E374+E150-0.1</f>
        <v>457521.9</v>
      </c>
      <c r="F389" s="28">
        <f>F90+F99+F374+F150-0.1</f>
        <v>29380.320000000003</v>
      </c>
      <c r="G389" s="28">
        <f>G90+G99+G374+G150</f>
        <v>29380.420000000002</v>
      </c>
      <c r="H389" s="13" t="s">
        <v>173</v>
      </c>
      <c r="I389" s="14">
        <f t="shared" si="77"/>
        <v>6.4199999999999993E-2</v>
      </c>
    </row>
    <row r="390" spans="1:9" s="2" customFormat="1" ht="31.5" x14ac:dyDescent="0.25">
      <c r="A390" s="84"/>
      <c r="B390" s="78"/>
      <c r="C390" s="59" t="s">
        <v>13</v>
      </c>
      <c r="D390" s="12">
        <f>D88+D100+D114+D120+D148+D154+D170+D189+D204+D210+D216+D233+D292+D307+D375+D381+D387-0.1</f>
        <v>2098765.1999999997</v>
      </c>
      <c r="E390" s="12">
        <f>E88+E100+E114+E120+E148+E154+E170+E189+E204+E210+E216+E233+E292+E307+E375+E381+E387-0.1</f>
        <v>1890879.0600000003</v>
      </c>
      <c r="F390" s="12">
        <f>F88+F100+F114+F120+F148+F154+F170+F189+F204+F210+F216+F233+F292+F307+F375+F381+F387-0.1</f>
        <v>450278.21999999991</v>
      </c>
      <c r="G390" s="12">
        <f>G88+G100+G114+G120+G148+G154+G170+G189+G204+G210+G216+G233+G292+G307+G375+G381+G387-0.1</f>
        <v>435977.88999999996</v>
      </c>
      <c r="H390" s="13" t="s">
        <v>173</v>
      </c>
      <c r="I390" s="14">
        <f t="shared" si="77"/>
        <v>0.2306</v>
      </c>
    </row>
    <row r="391" spans="1:9" s="2" customFormat="1" ht="31.5" x14ac:dyDescent="0.25">
      <c r="A391" s="86"/>
      <c r="B391" s="88"/>
      <c r="C391" s="59" t="s">
        <v>47</v>
      </c>
      <c r="D391" s="12">
        <f>D294</f>
        <v>4850.6399999999994</v>
      </c>
      <c r="E391" s="12">
        <f>E294-0.1</f>
        <v>4850.5399999999991</v>
      </c>
      <c r="F391" s="12">
        <f>F294-0.1</f>
        <v>994.9799999999999</v>
      </c>
      <c r="G391" s="12">
        <f>G294-0.1</f>
        <v>532.72</v>
      </c>
      <c r="H391" s="13" t="s">
        <v>173</v>
      </c>
      <c r="I391" s="14">
        <f t="shared" si="77"/>
        <v>0.10979999999999999</v>
      </c>
    </row>
    <row r="392" spans="1:9" s="2" customFormat="1" ht="47.25" x14ac:dyDescent="0.25">
      <c r="A392" s="95"/>
      <c r="B392" s="101"/>
      <c r="C392" s="59" t="s">
        <v>15</v>
      </c>
      <c r="D392" s="12">
        <f>D382+D376+D308+D293+D205+D171+D149+D115+D101+D89</f>
        <v>1888111.4899999998</v>
      </c>
      <c r="E392" s="12">
        <f>E382+E376+E308+E293+E205+E171+E149+E115+E101+E89</f>
        <v>1841970.66</v>
      </c>
      <c r="F392" s="12">
        <f>F382+F376+F308+F293+F205+F171+F149+F115+F101+F89</f>
        <v>367366.87</v>
      </c>
      <c r="G392" s="12">
        <f>G382+G376+G308+G293+G205+G171+G149+G115+G101+G89</f>
        <v>364816.57</v>
      </c>
      <c r="H392" s="13" t="s">
        <v>173</v>
      </c>
      <c r="I392" s="14">
        <f t="shared" si="77"/>
        <v>0.1981</v>
      </c>
    </row>
    <row r="393" spans="1:9" s="2" customFormat="1" x14ac:dyDescent="0.25">
      <c r="A393" s="142"/>
      <c r="B393" s="9"/>
      <c r="C393" s="143"/>
      <c r="D393" s="144"/>
      <c r="E393" s="144"/>
      <c r="F393" s="144"/>
      <c r="G393" s="144"/>
      <c r="H393" s="145"/>
      <c r="I393" s="132"/>
    </row>
    <row r="394" spans="1:9" s="2" customFormat="1" x14ac:dyDescent="0.25">
      <c r="A394" s="142"/>
      <c r="B394" s="9"/>
      <c r="C394" s="143"/>
      <c r="D394" s="144"/>
      <c r="E394" s="144"/>
      <c r="F394" s="144"/>
      <c r="G394" s="144"/>
      <c r="H394" s="145"/>
      <c r="I394" s="132"/>
    </row>
    <row r="395" spans="1:9" x14ac:dyDescent="0.25">
      <c r="D395" s="10"/>
      <c r="E395" s="10"/>
      <c r="F395" s="10"/>
      <c r="G395" s="10"/>
    </row>
  </sheetData>
  <autoFilter ref="A7:N392" xr:uid="{D21C9BE8-BA02-4036-BE37-158609E10AD4}">
    <filterColumn colId="7" showButton="0"/>
  </autoFilter>
  <mergeCells count="156">
    <mergeCell ref="A142:A143"/>
    <mergeCell ref="B142:B143"/>
    <mergeCell ref="B144:B146"/>
    <mergeCell ref="B147:B150"/>
    <mergeCell ref="A325:A327"/>
    <mergeCell ref="B325:B327"/>
    <mergeCell ref="A365:I365"/>
    <mergeCell ref="B369:B370"/>
    <mergeCell ref="B366:B368"/>
    <mergeCell ref="J34:N34"/>
    <mergeCell ref="J44:N44"/>
    <mergeCell ref="B82:I82"/>
    <mergeCell ref="B287:I287"/>
    <mergeCell ref="B295:I295"/>
    <mergeCell ref="B102:I102"/>
    <mergeCell ref="B71:I71"/>
    <mergeCell ref="H6:I7"/>
    <mergeCell ref="B8:I8"/>
    <mergeCell ref="B9:I9"/>
    <mergeCell ref="B41:B43"/>
    <mergeCell ref="B34:I34"/>
    <mergeCell ref="B44:I44"/>
    <mergeCell ref="B91:I91"/>
    <mergeCell ref="A159:I159"/>
    <mergeCell ref="B18:B19"/>
    <mergeCell ref="A18:A19"/>
    <mergeCell ref="A20:A21"/>
    <mergeCell ref="B20:B21"/>
    <mergeCell ref="A41:A43"/>
    <mergeCell ref="A67:A70"/>
    <mergeCell ref="B140:B141"/>
    <mergeCell ref="A140:A141"/>
    <mergeCell ref="A357:A358"/>
    <mergeCell ref="A119:A120"/>
    <mergeCell ref="B119:B120"/>
    <mergeCell ref="A169:A171"/>
    <mergeCell ref="A127:A129"/>
    <mergeCell ref="A271:I271"/>
    <mergeCell ref="A215:A216"/>
    <mergeCell ref="B329:B332"/>
    <mergeCell ref="B373:B376"/>
    <mergeCell ref="A373:A376"/>
    <mergeCell ref="A188:A189"/>
    <mergeCell ref="B188:B189"/>
    <mergeCell ref="B190:I190"/>
    <mergeCell ref="A153:A154"/>
    <mergeCell ref="A177:I177"/>
    <mergeCell ref="A195:I195"/>
    <mergeCell ref="A235:I235"/>
    <mergeCell ref="A229:I229"/>
    <mergeCell ref="A223:I223"/>
    <mergeCell ref="A218:I218"/>
    <mergeCell ref="B217:I217"/>
    <mergeCell ref="A156:I156"/>
    <mergeCell ref="B380:B382"/>
    <mergeCell ref="B377:I377"/>
    <mergeCell ref="B234:I234"/>
    <mergeCell ref="B357:B358"/>
    <mergeCell ref="A209:A210"/>
    <mergeCell ref="A193:A194"/>
    <mergeCell ref="B186:B187"/>
    <mergeCell ref="B169:B171"/>
    <mergeCell ref="B113:B115"/>
    <mergeCell ref="A113:A115"/>
    <mergeCell ref="A200:A202"/>
    <mergeCell ref="A203:A205"/>
    <mergeCell ref="B181:B182"/>
    <mergeCell ref="A186:A187"/>
    <mergeCell ref="B209:B210"/>
    <mergeCell ref="A181:A182"/>
    <mergeCell ref="B203:B205"/>
    <mergeCell ref="B200:B202"/>
    <mergeCell ref="B193:B194"/>
    <mergeCell ref="B267:B270"/>
    <mergeCell ref="A306:A307"/>
    <mergeCell ref="A283:A286"/>
    <mergeCell ref="A267:A270"/>
    <mergeCell ref="B183:I183"/>
    <mergeCell ref="A1:I1"/>
    <mergeCell ref="A388:A392"/>
    <mergeCell ref="A380:A381"/>
    <mergeCell ref="A329:A332"/>
    <mergeCell ref="A363:A364"/>
    <mergeCell ref="B345:B346"/>
    <mergeCell ref="B363:B364"/>
    <mergeCell ref="B388:B392"/>
    <mergeCell ref="B306:B308"/>
    <mergeCell ref="B289:B290"/>
    <mergeCell ref="A291:A294"/>
    <mergeCell ref="A349:A350"/>
    <mergeCell ref="A345:A346"/>
    <mergeCell ref="A353:A354"/>
    <mergeCell ref="A289:A290"/>
    <mergeCell ref="B349:B350"/>
    <mergeCell ref="B353:B354"/>
    <mergeCell ref="A339:A341"/>
    <mergeCell ref="B339:B341"/>
    <mergeCell ref="B383:I383"/>
    <mergeCell ref="B309:I309"/>
    <mergeCell ref="A310:I310"/>
    <mergeCell ref="A333:I333"/>
    <mergeCell ref="A342:I342"/>
    <mergeCell ref="A6:A7"/>
    <mergeCell ref="B6:B7"/>
    <mergeCell ref="C6:C7"/>
    <mergeCell ref="D6:D7"/>
    <mergeCell ref="E6:E7"/>
    <mergeCell ref="F6:G6"/>
    <mergeCell ref="A4:I4"/>
    <mergeCell ref="A3:I3"/>
    <mergeCell ref="A2:I2"/>
    <mergeCell ref="B85:B86"/>
    <mergeCell ref="A57:A58"/>
    <mergeCell ref="A31:A33"/>
    <mergeCell ref="A23:A26"/>
    <mergeCell ref="B23:B26"/>
    <mergeCell ref="B31:B33"/>
    <mergeCell ref="A87:A90"/>
    <mergeCell ref="B87:B90"/>
    <mergeCell ref="B79:B81"/>
    <mergeCell ref="B27:I27"/>
    <mergeCell ref="B67:B70"/>
    <mergeCell ref="B57:B58"/>
    <mergeCell ref="A98:A101"/>
    <mergeCell ref="A175:A176"/>
    <mergeCell ref="B175:B176"/>
    <mergeCell ref="B98:B101"/>
    <mergeCell ref="B166:B168"/>
    <mergeCell ref="B153:B154"/>
    <mergeCell ref="A85:A86"/>
    <mergeCell ref="A79:A81"/>
    <mergeCell ref="B116:I116"/>
    <mergeCell ref="B121:I121"/>
    <mergeCell ref="A122:I122"/>
    <mergeCell ref="B172:I172"/>
    <mergeCell ref="A173:I173"/>
    <mergeCell ref="A130:I130"/>
    <mergeCell ref="A139:I139"/>
    <mergeCell ref="B155:I155"/>
    <mergeCell ref="B151:I151"/>
    <mergeCell ref="B137:B138"/>
    <mergeCell ref="B127:B129"/>
    <mergeCell ref="A166:A168"/>
    <mergeCell ref="A137:A138"/>
    <mergeCell ref="A147:A149"/>
    <mergeCell ref="A144:A145"/>
    <mergeCell ref="A351:I351"/>
    <mergeCell ref="A355:I355"/>
    <mergeCell ref="A359:I359"/>
    <mergeCell ref="B206:I206"/>
    <mergeCell ref="B211:I211"/>
    <mergeCell ref="B191:I191"/>
    <mergeCell ref="B291:B294"/>
    <mergeCell ref="B215:B216"/>
    <mergeCell ref="B283:B286"/>
    <mergeCell ref="A347:I347"/>
  </mergeCells>
  <pageMargins left="0.78740157480314965" right="0.2" top="0.39370078740157483" bottom="0.39370078740157483" header="0.31496062992125984" footer="0.31496062992125984"/>
  <pageSetup paperSize="9" scale="53" fitToHeight="0" orientation="portrait" r:id="rId1"/>
  <ignoredErrors>
    <ignoredError sqref="G187 D187:F18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2025-12-01T14:30:53Z</dcterms:modified>
</cp:coreProperties>
</file>